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2120" windowHeight="8610" tabRatio="601" activeTab="0"/>
  </bookViews>
  <sheets>
    <sheet name="Основные параметры и коэффициен" sheetId="1" r:id="rId1"/>
    <sheet name="Исходные данные" sheetId="2" r:id="rId2"/>
    <sheet name="ИБР" sheetId="3" r:id="rId3"/>
    <sheet name="ИНП" sheetId="4" r:id="rId4"/>
    <sheet name="расчет финпомощи" sheetId="5" r:id="rId5"/>
    <sheet name="Коэффициент коммунального хозяй" sheetId="6" r:id="rId6"/>
    <sheet name=" районный коэффициент" sheetId="7" r:id="rId7"/>
    <sheet name="тарифы(коэф. КУ)" sheetId="8" r:id="rId8"/>
    <sheet name="Лист1" sheetId="9" r:id="rId9"/>
  </sheets>
  <externalReferences>
    <externalReference r:id="rId12"/>
  </externalReferences>
  <definedNames>
    <definedName name="А6">#REF!</definedName>
    <definedName name="Б2">#REF!</definedName>
    <definedName name="_xlnm.Print_Titles" localSheetId="6">' районный коэффициент'!$A:$A</definedName>
    <definedName name="_xlnm.Print_Titles" localSheetId="2">'ИБР'!$B:$B,'ИБР'!$1:$3</definedName>
    <definedName name="_xlnm.Print_Titles" localSheetId="4">'расчет финпомощи'!$B:$B,'расчет финпомощи'!$1:$3</definedName>
    <definedName name="_xlnm.Print_Titles" localSheetId="7">'тарифы(коэф. КУ)'!$A:$A</definedName>
    <definedName name="_xlnm.Print_Area" localSheetId="2">'ИБР'!$A$1:$U$11</definedName>
    <definedName name="_xlnm.Print_Area" localSheetId="4">'расчет финпомощи'!$A$1:$P$13</definedName>
  </definedNames>
  <calcPr fullCalcOnLoad="1" fullPrecision="0"/>
</workbook>
</file>

<file path=xl/sharedStrings.xml><?xml version="1.0" encoding="utf-8"?>
<sst xmlns="http://schemas.openxmlformats.org/spreadsheetml/2006/main" count="173" uniqueCount="140">
  <si>
    <t>Население и расселение</t>
  </si>
  <si>
    <t>Коэффициент к заработной плате</t>
  </si>
  <si>
    <t>коэффициент удорожания бюджетных услуг</t>
  </si>
  <si>
    <t xml:space="preserve">Удельный вес населения, проживаю-щего в мелких населенных пунктах, </t>
  </si>
  <si>
    <t>Коэффициент дисперсности расселения</t>
  </si>
  <si>
    <t>Коэффициент расселения</t>
  </si>
  <si>
    <t>Средневзвешен-ный районный коэффициент к заработной плате</t>
  </si>
  <si>
    <t>Средневзвешен-ные надбавки к зарплате в районах Кр. Севера и приравненных к ним местностях</t>
  </si>
  <si>
    <t>Средневзвешен-ные прочие надбавки (для южных районов Дальневого востока)</t>
  </si>
  <si>
    <t>Условная надбавка к зарплате (компенсация транспортных расходов)</t>
  </si>
  <si>
    <t>Расчет средневзвешенного по муниципальным образованиям коэффициента к заработной плате</t>
  </si>
  <si>
    <t>КОЭФФИЦИЕНТ ЗАРАБОТНОЙ ПЛАТЫ</t>
  </si>
  <si>
    <t>доля населения от 0 до 17 лет и старше трудоспособного возраста в общей численности населения</t>
  </si>
  <si>
    <t>к среднему показателю по краю</t>
  </si>
  <si>
    <t>расчет коэффициента удорожания бюджетной услуги</t>
  </si>
  <si>
    <t>КОЭФФИЦИЕНТ удорожания бюджетных услуг</t>
  </si>
  <si>
    <t>ИБР</t>
  </si>
  <si>
    <t>№ столбца</t>
  </si>
  <si>
    <t>1</t>
  </si>
  <si>
    <t>2</t>
  </si>
  <si>
    <t>7</t>
  </si>
  <si>
    <t>8</t>
  </si>
  <si>
    <t>10</t>
  </si>
  <si>
    <t>Приморский край</t>
  </si>
  <si>
    <t>Индекс налогового потенциала (ИНП)</t>
  </si>
  <si>
    <t>Индекс бюджет-ных расходов (ИБР)</t>
  </si>
  <si>
    <t>Расчет средств, недостающих до среднего уровня бюджетной обеспеченности</t>
  </si>
  <si>
    <t>объем средств для подтягивания первой группы</t>
  </si>
  <si>
    <t>объем средств для подтягивания второй группы</t>
  </si>
  <si>
    <t>3</t>
  </si>
  <si>
    <t>4=2/3</t>
  </si>
  <si>
    <t>5</t>
  </si>
  <si>
    <t>6=5*85%</t>
  </si>
  <si>
    <t>9=6+8</t>
  </si>
  <si>
    <t>Муниципальные образования Приморского края</t>
  </si>
  <si>
    <t>Доля городского населения</t>
  </si>
  <si>
    <t>Население в Северных районах</t>
  </si>
  <si>
    <t>Доля Северных районов</t>
  </si>
  <si>
    <t>Городское ,не Север</t>
  </si>
  <si>
    <t>Городское , Север</t>
  </si>
  <si>
    <t>Сельское , не Север</t>
  </si>
  <si>
    <t>Сельское Север</t>
  </si>
  <si>
    <t>4=3/2</t>
  </si>
  <si>
    <t>6=5/2</t>
  </si>
  <si>
    <t>16=8+10+12+14</t>
  </si>
  <si>
    <t>17=9+13</t>
  </si>
  <si>
    <t>18=11+15</t>
  </si>
  <si>
    <t>рк</t>
  </si>
  <si>
    <t>дв</t>
  </si>
  <si>
    <t>сев</t>
  </si>
  <si>
    <r>
      <t>7=4*(</t>
    </r>
    <r>
      <rPr>
        <b/>
        <sz val="5"/>
        <rFont val="Times New Roman Cyr"/>
        <family val="0"/>
      </rPr>
      <t>1</t>
    </r>
    <r>
      <rPr>
        <b/>
        <sz val="8"/>
        <rFont val="Times New Roman Cyr"/>
        <family val="1"/>
      </rPr>
      <t>-6)*</t>
    </r>
    <r>
      <rPr>
        <b/>
        <sz val="5"/>
        <rFont val="Times New Roman Cyr"/>
        <family val="1"/>
      </rPr>
      <t>1,3</t>
    </r>
  </si>
  <si>
    <r>
      <t>8=4*(</t>
    </r>
    <r>
      <rPr>
        <b/>
        <sz val="5"/>
        <rFont val="Times New Roman Cyr"/>
        <family val="0"/>
      </rPr>
      <t>1</t>
    </r>
    <r>
      <rPr>
        <b/>
        <sz val="8"/>
        <rFont val="Times New Roman Cyr"/>
        <family val="1"/>
      </rPr>
      <t>-6)*</t>
    </r>
    <r>
      <rPr>
        <b/>
        <sz val="5"/>
        <rFont val="Times New Roman Cyr"/>
        <family val="1"/>
      </rPr>
      <t>0,2</t>
    </r>
  </si>
  <si>
    <r>
      <t>9=4*6*</t>
    </r>
    <r>
      <rPr>
        <b/>
        <sz val="5"/>
        <rFont val="Times New Roman Cyr"/>
        <family val="1"/>
      </rPr>
      <t>1,3</t>
    </r>
  </si>
  <si>
    <r>
      <t>10=4*6*</t>
    </r>
    <r>
      <rPr>
        <b/>
        <sz val="5"/>
        <rFont val="Times New Roman Cyr"/>
        <family val="1"/>
      </rPr>
      <t>0,5</t>
    </r>
  </si>
  <si>
    <r>
      <t>11=(</t>
    </r>
    <r>
      <rPr>
        <b/>
        <sz val="5"/>
        <rFont val="Times New Roman Cyr"/>
        <family val="0"/>
      </rPr>
      <t>1</t>
    </r>
    <r>
      <rPr>
        <b/>
        <sz val="8"/>
        <rFont val="Times New Roman Cyr"/>
        <family val="1"/>
      </rPr>
      <t>-4)*(</t>
    </r>
    <r>
      <rPr>
        <b/>
        <sz val="5"/>
        <rFont val="Times New Roman Cyr"/>
        <family val="0"/>
      </rPr>
      <t>1</t>
    </r>
    <r>
      <rPr>
        <b/>
        <sz val="8"/>
        <rFont val="Times New Roman Cyr"/>
        <family val="1"/>
      </rPr>
      <t>-6)*</t>
    </r>
    <r>
      <rPr>
        <b/>
        <sz val="5"/>
        <rFont val="Times New Roman Cyr"/>
        <family val="1"/>
      </rPr>
      <t>1,625</t>
    </r>
  </si>
  <si>
    <r>
      <t>12=(</t>
    </r>
    <r>
      <rPr>
        <b/>
        <sz val="5"/>
        <rFont val="Times New Roman Cyr"/>
        <family val="0"/>
      </rPr>
      <t>1</t>
    </r>
    <r>
      <rPr>
        <b/>
        <sz val="8"/>
        <rFont val="Times New Roman Cyr"/>
        <family val="1"/>
      </rPr>
      <t>-4)*(</t>
    </r>
    <r>
      <rPr>
        <b/>
        <sz val="5"/>
        <rFont val="Times New Roman Cyr"/>
        <family val="0"/>
      </rPr>
      <t>1</t>
    </r>
    <r>
      <rPr>
        <b/>
        <sz val="8"/>
        <rFont val="Times New Roman Cyr"/>
        <family val="1"/>
      </rPr>
      <t>-6)*</t>
    </r>
    <r>
      <rPr>
        <b/>
        <sz val="5"/>
        <rFont val="Times New Roman Cyr"/>
        <family val="1"/>
      </rPr>
      <t>0,25</t>
    </r>
  </si>
  <si>
    <r>
      <t>13=(</t>
    </r>
    <r>
      <rPr>
        <b/>
        <sz val="5"/>
        <rFont val="Times New Roman Cyr"/>
        <family val="0"/>
      </rPr>
      <t>1</t>
    </r>
    <r>
      <rPr>
        <b/>
        <sz val="8"/>
        <rFont val="Times New Roman Cyr"/>
        <family val="1"/>
      </rPr>
      <t>-4)*6*</t>
    </r>
    <r>
      <rPr>
        <b/>
        <sz val="5"/>
        <rFont val="Times New Roman Cyr"/>
        <family val="1"/>
      </rPr>
      <t>1,625</t>
    </r>
  </si>
  <si>
    <r>
      <t>15=(</t>
    </r>
    <r>
      <rPr>
        <b/>
        <sz val="5"/>
        <rFont val="Times New Roman Cyr"/>
        <family val="0"/>
      </rPr>
      <t>1</t>
    </r>
    <r>
      <rPr>
        <b/>
        <sz val="8"/>
        <rFont val="Times New Roman Cyr"/>
        <family val="1"/>
      </rPr>
      <t>-4)*6*</t>
    </r>
    <r>
      <rPr>
        <b/>
        <sz val="5"/>
        <rFont val="Times New Roman Cyr"/>
        <family val="1"/>
      </rPr>
      <t>0,625</t>
    </r>
  </si>
  <si>
    <t>Всего водоснабжение</t>
  </si>
  <si>
    <t>Коэффициент ЖКУ</t>
  </si>
  <si>
    <t>Пощадь муниципального жилого фонда (кв.м.)</t>
  </si>
  <si>
    <t xml:space="preserve">На душу населения </t>
  </si>
  <si>
    <t>Коэффициент КХ</t>
  </si>
  <si>
    <t>Индекс налогового потенциала</t>
  </si>
  <si>
    <t>КОЭФФИЦИЕНТ КУ</t>
  </si>
  <si>
    <t>КОЭФФИЦИЕНТ коммунального хозяйства</t>
  </si>
  <si>
    <t>Уровень бюджетной обеспеченности (после подтягивания первой группы)</t>
  </si>
  <si>
    <t>На душу населения</t>
  </si>
  <si>
    <t xml:space="preserve">   </t>
  </si>
  <si>
    <t>Ед. измерения</t>
  </si>
  <si>
    <t>чел.</t>
  </si>
  <si>
    <t>№</t>
  </si>
  <si>
    <t>Численность детей 0-17 лет</t>
  </si>
  <si>
    <t>Муниципальный район</t>
  </si>
  <si>
    <t>Общий объем распределяемых средств (объем районного ФФПП)</t>
  </si>
  <si>
    <t>Расчет ИБР</t>
  </si>
  <si>
    <t>Уровень, установленный в качестве первого критерия выравнивания бюджетной обеспеченности (К1)</t>
  </si>
  <si>
    <t>Уровень, установленный в качестве второго критерия выравнивания бюджетной обеспеченности (К2)</t>
  </si>
  <si>
    <t>чел</t>
  </si>
  <si>
    <t>Численность населения, проживающего в мелких населенных пунктах (до 500 чел)</t>
  </si>
  <si>
    <t xml:space="preserve">тыс. руб. </t>
  </si>
  <si>
    <t>Налоговый потенциал поселения</t>
  </si>
  <si>
    <t>Уровень реальной бюджетной обеспеченности (до распределения ФФПП)</t>
  </si>
  <si>
    <t>Уровень реальной бюджетной обеспеченности (после распределения ФФПП)</t>
  </si>
  <si>
    <t>% п/п</t>
  </si>
  <si>
    <t>№ п/п</t>
  </si>
  <si>
    <t>Районный коэффициент</t>
  </si>
  <si>
    <t>Дальневосточная надбавка</t>
  </si>
  <si>
    <t>Северная надбавка</t>
  </si>
  <si>
    <t>Тариф на электоэнергию для бюджетных учреждений</t>
  </si>
  <si>
    <t>Тариф на тепловую энергию для бюджетных учреждений</t>
  </si>
  <si>
    <t>Тариф на водоснабжение для бюджетных учреждений</t>
  </si>
  <si>
    <t>Тариф на водоотведение для бюджетных учреждений</t>
  </si>
  <si>
    <t>тариф на электроэнергию к среднему по району</t>
  </si>
  <si>
    <t>тариф на теплоэнергию к среднему по району</t>
  </si>
  <si>
    <t>тариф на водоснабжение к среднему порайону</t>
  </si>
  <si>
    <t>кв. м</t>
  </si>
  <si>
    <t>Всего по муниципальному району / среднее по муниципальному району</t>
  </si>
  <si>
    <t>Численность населения старше трудоспособного возраста</t>
  </si>
  <si>
    <r>
      <t>3=</t>
    </r>
    <r>
      <rPr>
        <sz val="6"/>
        <rFont val="Times New Roman"/>
        <family val="1"/>
      </rPr>
      <t>1</t>
    </r>
    <r>
      <rPr>
        <b/>
        <sz val="8"/>
        <rFont val="Times New Roman"/>
        <family val="1"/>
      </rPr>
      <t>+2/</t>
    </r>
    <r>
      <rPr>
        <sz val="6"/>
        <rFont val="Times New Roman"/>
        <family val="1"/>
      </rPr>
      <t>100</t>
    </r>
  </si>
  <si>
    <t>4=3/3рай</t>
  </si>
  <si>
    <t>6</t>
  </si>
  <si>
    <t>9=(5+6+7+8)*4</t>
  </si>
  <si>
    <t>10=9*1              10рай=summ 10/рай</t>
  </si>
  <si>
    <t>11=9/10рай</t>
  </si>
  <si>
    <t>Условная надбавка на проезд к месту отдыха</t>
  </si>
  <si>
    <t>12</t>
  </si>
  <si>
    <t>13</t>
  </si>
  <si>
    <t>14=13/13рай</t>
  </si>
  <si>
    <t>16=15*1 16рай=summ16/1 рай</t>
  </si>
  <si>
    <t>17=15/16рай</t>
  </si>
  <si>
    <t>18</t>
  </si>
  <si>
    <r>
      <t>19=U</t>
    </r>
    <r>
      <rPr>
        <b/>
        <sz val="6"/>
        <rFont val="Times New Roman"/>
        <family val="1"/>
      </rPr>
      <t>зп</t>
    </r>
    <r>
      <rPr>
        <b/>
        <sz val="8"/>
        <rFont val="Times New Roman"/>
        <family val="1"/>
      </rPr>
      <t>*11+</t>
    </r>
    <r>
      <rPr>
        <b/>
        <sz val="6"/>
        <rFont val="Times New Roman"/>
        <family val="1"/>
      </rPr>
      <t>Uку</t>
    </r>
    <r>
      <rPr>
        <b/>
        <sz val="8"/>
        <rFont val="Times New Roman"/>
        <family val="1"/>
      </rPr>
      <t>*12+</t>
    </r>
    <r>
      <rPr>
        <b/>
        <sz val="6"/>
        <rFont val="Times New Roman"/>
        <family val="1"/>
      </rPr>
      <t>Uуд</t>
    </r>
    <r>
      <rPr>
        <b/>
        <sz val="8"/>
        <rFont val="Times New Roman"/>
        <family val="1"/>
      </rPr>
      <t>*17+Uкх*18</t>
    </r>
  </si>
  <si>
    <t>Степень сокращения отставания расчетной бюджетной обеспеченности поселений от первого критерия выравнивания (П)</t>
  </si>
  <si>
    <t xml:space="preserve">Величина дотации из районного ФФПП  </t>
  </si>
  <si>
    <t>Численность населения, участвующего в расчете</t>
  </si>
  <si>
    <r>
      <t xml:space="preserve">Удельный вес расходов на оплату труда </t>
    </r>
    <r>
      <rPr>
        <i/>
        <sz val="10"/>
        <rFont val="Times New Roman Cyr"/>
        <family val="0"/>
      </rPr>
      <t xml:space="preserve">(десятичная дробь не более 2-х знаков после запятой) </t>
    </r>
  </si>
  <si>
    <r>
      <t xml:space="preserve">Удельный вес расходов на оплату коммунальных услуг </t>
    </r>
    <r>
      <rPr>
        <i/>
        <sz val="10"/>
        <rFont val="Times New Roman Cyr"/>
        <family val="0"/>
      </rPr>
      <t xml:space="preserve">(десятичная дробь не более 2-х знаков после запятой) </t>
    </r>
  </si>
  <si>
    <r>
      <t xml:space="preserve">Удельный вес расходов на ЖКХ </t>
    </r>
    <r>
      <rPr>
        <i/>
        <sz val="10"/>
        <rFont val="Times New Roman Cyr"/>
        <family val="0"/>
      </rPr>
      <t xml:space="preserve">(десятичная дробь не более 2-х знаков после запятой) </t>
    </r>
  </si>
  <si>
    <r>
      <t xml:space="preserve">Удельный вес прочих расходов </t>
    </r>
    <r>
      <rPr>
        <i/>
        <sz val="10"/>
        <rFont val="Times New Roman Cyr"/>
        <family val="0"/>
      </rPr>
      <t xml:space="preserve">(десятичная дробь не более 2-х знаков после запятой) </t>
    </r>
  </si>
  <si>
    <t xml:space="preserve">(десятичная дробь не более 2-х знаков после запятой) </t>
  </si>
  <si>
    <t xml:space="preserve">(число больше единицы, не более 2-х знаков после запятой) </t>
  </si>
  <si>
    <t>Численность постоянного населения (на 01.01.2013)</t>
  </si>
  <si>
    <t>15=14*4*1,2</t>
  </si>
  <si>
    <t>11</t>
  </si>
  <si>
    <t>Вл.-Александровское</t>
  </si>
  <si>
    <t>Екатериновское</t>
  </si>
  <si>
    <t>Золотодолинское</t>
  </si>
  <si>
    <t>Новицкое</t>
  </si>
  <si>
    <t>Сергеевское</t>
  </si>
  <si>
    <t>Новолитовское</t>
  </si>
  <si>
    <t>Поселения Партизанского муниципального района</t>
  </si>
  <si>
    <t xml:space="preserve">Поселения Партизанского муниципального района </t>
  </si>
  <si>
    <t>Налоговый потенциал поселений 2015 год</t>
  </si>
  <si>
    <t>Численность постоянного населения (на 01.01.2016)</t>
  </si>
  <si>
    <t>Численность городского населения (на 01.01.2016)</t>
  </si>
  <si>
    <t>Численность  населения, проживающего в населенных пунктах северных территорий или приравненных к ним (на 01.01.2016)</t>
  </si>
  <si>
    <t>Объем дотации из районного ФФПП на 2016 год</t>
  </si>
  <si>
    <t>Всего объем дотации с учетом компенсации снижения на 2017 год</t>
  </si>
  <si>
    <t>Снижение суммы дотации к 2016 году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</si>
</sst>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  <numFmt numFmtId="167" formatCode="0.000"/>
    <numFmt numFmtId="168" formatCode="0.0"/>
    <numFmt numFmtId="169" formatCode="#,##0.000000"/>
    <numFmt numFmtId="170" formatCode="#,##0.000000000"/>
    <numFmt numFmtId="171" formatCode="#,##0_ ;[Red]\-#,##0\ "/>
    <numFmt numFmtId="172" formatCode="#,##0.0_ ;\-#,##0.0\ "/>
    <numFmt numFmtId="173" formatCode="#,##0.0_ ;[Red]\-#,##0.0\ "/>
    <numFmt numFmtId="174" formatCode="#,##0.000_ ;[Red]\-#,##0.000\ "/>
    <numFmt numFmtId="175" formatCode="#,##0.0000_ ;[Red]\-#,##0.0000\ "/>
    <numFmt numFmtId="176" formatCode="#,##0.00000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#,##0.00000_ ;[Red]\-#,##0.00000\ "/>
    <numFmt numFmtId="187" formatCode="#,##0.000000_ ;[Red]\-#,##0.000000\ "/>
    <numFmt numFmtId="188" formatCode="0.0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%"/>
    <numFmt numFmtId="195" formatCode="0.0%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0.00000000"/>
    <numFmt numFmtId="205" formatCode="#,##0_р_."/>
    <numFmt numFmtId="206" formatCode="#,##0.0000000"/>
    <numFmt numFmtId="207" formatCode="0.000000000"/>
  </numFmts>
  <fonts count="6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5"/>
      <name val="Times New Roman Cyr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9"/>
      <color indexed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10"/>
      <name val="Times New Roman Cyr"/>
      <family val="1"/>
    </font>
    <font>
      <i/>
      <sz val="10"/>
      <name val="Times New Roman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5" fillId="0" borderId="13" xfId="0" applyFont="1" applyBorder="1" applyAlignment="1">
      <alignment/>
    </xf>
    <xf numFmtId="0" fontId="16" fillId="33" borderId="14" xfId="55" applyFont="1" applyFill="1" applyBorder="1" applyAlignment="1">
      <alignment horizontal="right" wrapText="1"/>
      <protection/>
    </xf>
    <xf numFmtId="0" fontId="16" fillId="33" borderId="11" xfId="55" applyFont="1" applyFill="1" applyBorder="1" applyAlignment="1">
      <alignment horizontal="right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17" fillId="0" borderId="11" xfId="55" applyFont="1" applyFill="1" applyBorder="1" applyAlignment="1">
      <alignment horizontal="center" vertical="top" wrapText="1"/>
      <protection/>
    </xf>
    <xf numFmtId="0" fontId="17" fillId="33" borderId="0" xfId="55" applyFont="1" applyFill="1" applyBorder="1" applyAlignment="1">
      <alignment horizontal="center" wrapText="1"/>
      <protection/>
    </xf>
    <xf numFmtId="0" fontId="8" fillId="0" borderId="15" xfId="55" applyFont="1" applyFill="1" applyBorder="1" applyAlignment="1">
      <alignment horizontal="left" vertical="center" wrapText="1"/>
      <protection/>
    </xf>
    <xf numFmtId="0" fontId="8" fillId="0" borderId="0" xfId="55" applyFont="1" applyFill="1" applyBorder="1" applyAlignment="1">
      <alignment horizontal="center" wrapText="1"/>
      <protection/>
    </xf>
    <xf numFmtId="0" fontId="17" fillId="0" borderId="0" xfId="55" applyFont="1" applyFill="1" applyBorder="1" applyAlignment="1">
      <alignment horizontal="center" wrapText="1"/>
      <protection/>
    </xf>
    <xf numFmtId="0" fontId="17" fillId="0" borderId="16" xfId="55" applyFont="1" applyFill="1" applyBorder="1" applyAlignment="1">
      <alignment horizontal="center" wrapText="1"/>
      <protection/>
    </xf>
    <xf numFmtId="0" fontId="19" fillId="0" borderId="15" xfId="55" applyFont="1" applyFill="1" applyBorder="1" applyAlignment="1">
      <alignment horizontal="left" wrapText="1"/>
      <protection/>
    </xf>
    <xf numFmtId="0" fontId="3" fillId="0" borderId="0" xfId="55" applyNumberFormat="1" applyFill="1" applyBorder="1" applyAlignment="1">
      <alignment wrapText="1"/>
      <protection/>
    </xf>
    <xf numFmtId="0" fontId="16" fillId="0" borderId="0" xfId="55" applyFont="1" applyFill="1" applyBorder="1" applyAlignment="1">
      <alignment horizontal="center" wrapText="1"/>
      <protection/>
    </xf>
    <xf numFmtId="0" fontId="16" fillId="0" borderId="16" xfId="55" applyFont="1" applyFill="1" applyBorder="1" applyAlignment="1">
      <alignment horizontal="center" wrapText="1"/>
      <protection/>
    </xf>
    <xf numFmtId="0" fontId="16" fillId="33" borderId="0" xfId="55" applyFont="1" applyFill="1" applyBorder="1" applyAlignment="1">
      <alignment horizontal="center" wrapText="1"/>
      <protection/>
    </xf>
    <xf numFmtId="0" fontId="19" fillId="0" borderId="15" xfId="55" applyFont="1" applyFill="1" applyBorder="1" applyAlignment="1">
      <alignment horizontal="left"/>
      <protection/>
    </xf>
    <xf numFmtId="0" fontId="3" fillId="0" borderId="0" xfId="55" applyNumberFormat="1" applyFill="1" applyBorder="1" applyAlignment="1">
      <alignment/>
      <protection/>
    </xf>
    <xf numFmtId="0" fontId="16" fillId="0" borderId="0" xfId="55" applyFont="1" applyFill="1" applyBorder="1">
      <alignment/>
      <protection/>
    </xf>
    <xf numFmtId="0" fontId="16" fillId="33" borderId="0" xfId="55" applyFont="1" applyFill="1" applyBorder="1">
      <alignment/>
      <protection/>
    </xf>
    <xf numFmtId="0" fontId="16" fillId="33" borderId="16" xfId="55" applyFont="1" applyFill="1" applyBorder="1">
      <alignment/>
      <protection/>
    </xf>
    <xf numFmtId="0" fontId="4" fillId="0" borderId="15" xfId="55" applyFont="1" applyFill="1" applyBorder="1" applyAlignment="1">
      <alignment horizontal="left"/>
      <protection/>
    </xf>
    <xf numFmtId="195" fontId="4" fillId="0" borderId="0" xfId="55" applyNumberFormat="1" applyFont="1" applyFill="1" applyBorder="1" applyAlignment="1">
      <alignment/>
      <protection/>
    </xf>
    <xf numFmtId="0" fontId="8" fillId="0" borderId="17" xfId="34" applyFont="1" applyFill="1" applyBorder="1" applyAlignment="1">
      <alignment horizontal="left"/>
      <protection/>
    </xf>
    <xf numFmtId="195" fontId="4" fillId="0" borderId="12" xfId="55" applyNumberFormat="1" applyFont="1" applyFill="1" applyBorder="1" applyAlignment="1">
      <alignment/>
      <protection/>
    </xf>
    <xf numFmtId="0" fontId="17" fillId="33" borderId="0" xfId="55" applyFont="1" applyFill="1" applyBorder="1">
      <alignment/>
      <protection/>
    </xf>
    <xf numFmtId="0" fontId="16" fillId="33" borderId="15" xfId="55" applyFont="1" applyFill="1" applyBorder="1">
      <alignment/>
      <protection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/>
    </xf>
    <xf numFmtId="3" fontId="4" fillId="0" borderId="0" xfId="55" applyNumberFormat="1" applyFont="1" applyFill="1" applyBorder="1" applyAlignment="1">
      <alignment/>
      <protection/>
    </xf>
    <xf numFmtId="3" fontId="4" fillId="0" borderId="0" xfId="55" applyNumberFormat="1" applyFont="1" applyFill="1" applyBorder="1" applyAlignment="1">
      <alignment wrapText="1"/>
      <protection/>
    </xf>
    <xf numFmtId="3" fontId="4" fillId="0" borderId="12" xfId="55" applyNumberFormat="1" applyFont="1" applyFill="1" applyBorder="1" applyAlignment="1">
      <alignment wrapText="1"/>
      <protection/>
    </xf>
    <xf numFmtId="1" fontId="4" fillId="0" borderId="0" xfId="55" applyNumberFormat="1" applyFont="1" applyFill="1" applyBorder="1" applyAlignment="1">
      <alignment/>
      <protection/>
    </xf>
    <xf numFmtId="1" fontId="4" fillId="0" borderId="0" xfId="55" applyNumberFormat="1" applyFont="1" applyFill="1" applyBorder="1" applyAlignment="1">
      <alignment wrapText="1"/>
      <protection/>
    </xf>
    <xf numFmtId="1" fontId="4" fillId="0" borderId="12" xfId="55" applyNumberFormat="1" applyFont="1" applyFill="1" applyBorder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/>
    </xf>
    <xf numFmtId="185" fontId="0" fillId="0" borderId="0" xfId="0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9" fontId="15" fillId="0" borderId="12" xfId="0" applyNumberFormat="1" applyFont="1" applyFill="1" applyBorder="1" applyAlignment="1">
      <alignment vertical="top" wrapText="1"/>
    </xf>
    <xf numFmtId="3" fontId="22" fillId="0" borderId="12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4" fillId="0" borderId="0" xfId="0" applyFont="1" applyFill="1" applyBorder="1" applyAlignment="1" quotePrefix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6" fillId="0" borderId="16" xfId="55" applyFont="1" applyFill="1" applyBorder="1">
      <alignment/>
      <protection/>
    </xf>
    <xf numFmtId="0" fontId="20" fillId="0" borderId="0" xfId="0" applyFont="1" applyAlignment="1">
      <alignment/>
    </xf>
    <xf numFmtId="205" fontId="20" fillId="0" borderId="0" xfId="0" applyNumberFormat="1" applyFont="1" applyAlignment="1">
      <alignment/>
    </xf>
    <xf numFmtId="0" fontId="24" fillId="0" borderId="0" xfId="0" applyFont="1" applyAlignment="1">
      <alignment/>
    </xf>
    <xf numFmtId="165" fontId="24" fillId="0" borderId="0" xfId="0" applyNumberFormat="1" applyFont="1" applyFill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Border="1" applyAlignment="1" quotePrefix="1">
      <alignment horizontal="left" wrapText="1"/>
    </xf>
    <xf numFmtId="205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0" xfId="0" applyFont="1" applyBorder="1" applyAlignment="1" quotePrefix="1">
      <alignment horizontal="center" wrapText="1"/>
    </xf>
    <xf numFmtId="0" fontId="24" fillId="0" borderId="0" xfId="0" applyFont="1" applyBorder="1" applyAlignment="1" quotePrefix="1">
      <alignment horizontal="left"/>
    </xf>
    <xf numFmtId="0" fontId="24" fillId="0" borderId="18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18" xfId="0" applyFont="1" applyFill="1" applyBorder="1" applyAlignment="1">
      <alignment/>
    </xf>
    <xf numFmtId="205" fontId="24" fillId="0" borderId="0" xfId="0" applyNumberFormat="1" applyFont="1" applyFill="1" applyAlignment="1">
      <alignment/>
    </xf>
    <xf numFmtId="0" fontId="24" fillId="0" borderId="18" xfId="0" applyFont="1" applyFill="1" applyBorder="1" applyAlignment="1">
      <alignment/>
    </xf>
    <xf numFmtId="205" fontId="24" fillId="0" borderId="0" xfId="0" applyNumberFormat="1" applyFont="1" applyFill="1" applyAlignment="1">
      <alignment/>
    </xf>
    <xf numFmtId="3" fontId="24" fillId="0" borderId="20" xfId="0" applyNumberFormat="1" applyFont="1" applyFill="1" applyBorder="1" applyAlignment="1" quotePrefix="1">
      <alignment/>
    </xf>
    <xf numFmtId="0" fontId="24" fillId="0" borderId="0" xfId="0" applyFont="1" applyBorder="1" applyAlignment="1">
      <alignment horizontal="left"/>
    </xf>
    <xf numFmtId="3" fontId="24" fillId="0" borderId="21" xfId="0" applyNumberFormat="1" applyFont="1" applyFill="1" applyBorder="1" applyAlignment="1">
      <alignment/>
    </xf>
    <xf numFmtId="0" fontId="20" fillId="0" borderId="22" xfId="0" applyFont="1" applyFill="1" applyBorder="1" applyAlignment="1" quotePrefix="1">
      <alignment/>
    </xf>
    <xf numFmtId="0" fontId="24" fillId="0" borderId="22" xfId="0" applyFont="1" applyBorder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6" fillId="0" borderId="2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24" fillId="0" borderId="0" xfId="33" applyFont="1" applyFill="1" applyBorder="1" applyAlignment="1" quotePrefix="1">
      <alignment wrapText="1"/>
      <protection/>
    </xf>
    <xf numFmtId="16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0" fontId="24" fillId="0" borderId="0" xfId="0" applyFont="1" applyBorder="1" applyAlignment="1" quotePrefix="1">
      <alignment wrapText="1"/>
    </xf>
    <xf numFmtId="3" fontId="20" fillId="0" borderId="24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18" xfId="0" applyFont="1" applyBorder="1" applyAlignment="1">
      <alignment wrapText="1"/>
    </xf>
    <xf numFmtId="0" fontId="24" fillId="0" borderId="0" xfId="33" applyFont="1" applyFill="1" applyBorder="1" applyAlignment="1">
      <alignment/>
      <protection/>
    </xf>
    <xf numFmtId="0" fontId="24" fillId="0" borderId="0" xfId="33" applyFont="1" applyFill="1" applyBorder="1" applyAlignment="1" quotePrefix="1">
      <alignment/>
      <protection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24" fillId="0" borderId="18" xfId="0" applyFont="1" applyBorder="1" applyAlignment="1" quotePrefix="1">
      <alignment horizontal="left"/>
    </xf>
    <xf numFmtId="0" fontId="24" fillId="0" borderId="19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 quotePrefix="1">
      <alignment horizontal="center"/>
    </xf>
    <xf numFmtId="0" fontId="25" fillId="0" borderId="0" xfId="0" applyFont="1" applyAlignment="1">
      <alignment horizontal="left"/>
    </xf>
    <xf numFmtId="167" fontId="24" fillId="0" borderId="0" xfId="0" applyNumberFormat="1" applyFont="1" applyFill="1" applyBorder="1" applyAlignment="1">
      <alignment horizontal="left"/>
    </xf>
    <xf numFmtId="0" fontId="24" fillId="0" borderId="0" xfId="0" applyFont="1" applyBorder="1" applyAlignment="1" quotePrefix="1">
      <alignment vertical="top"/>
    </xf>
    <xf numFmtId="0" fontId="24" fillId="0" borderId="27" xfId="0" applyFont="1" applyBorder="1" applyAlignment="1">
      <alignment/>
    </xf>
    <xf numFmtId="3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>
      <alignment vertical="top"/>
    </xf>
    <xf numFmtId="205" fontId="24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10" fontId="24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5" fontId="21" fillId="0" borderId="0" xfId="55" applyNumberFormat="1" applyFont="1" applyFill="1" applyBorder="1">
      <alignment/>
      <protection/>
    </xf>
    <xf numFmtId="4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5" fontId="20" fillId="0" borderId="12" xfId="55" applyNumberFormat="1" applyFont="1" applyFill="1" applyBorder="1">
      <alignment/>
      <protection/>
    </xf>
    <xf numFmtId="165" fontId="13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175" fontId="13" fillId="0" borderId="0" xfId="0" applyNumberFormat="1" applyFont="1" applyFill="1" applyBorder="1" applyAlignment="1">
      <alignment horizontal="center" vertical="center"/>
    </xf>
    <xf numFmtId="175" fontId="14" fillId="0" borderId="0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/>
    </xf>
    <xf numFmtId="0" fontId="17" fillId="0" borderId="29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26" fillId="0" borderId="30" xfId="0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189" fontId="0" fillId="0" borderId="12" xfId="0" applyNumberFormat="1" applyFill="1" applyBorder="1" applyAlignment="1">
      <alignment/>
    </xf>
    <xf numFmtId="164" fontId="0" fillId="0" borderId="31" xfId="0" applyNumberFormat="1" applyFill="1" applyBorder="1" applyAlignment="1">
      <alignment/>
    </xf>
    <xf numFmtId="166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/>
    </xf>
    <xf numFmtId="0" fontId="17" fillId="0" borderId="13" xfId="0" applyFont="1" applyFill="1" applyBorder="1" applyAlignment="1">
      <alignment horizontal="center" vertical="top" wrapText="1"/>
    </xf>
    <xf numFmtId="195" fontId="4" fillId="0" borderId="0" xfId="55" applyNumberFormat="1" applyFont="1" applyFill="1" applyBorder="1" applyAlignment="1">
      <alignment wrapText="1"/>
      <protection/>
    </xf>
    <xf numFmtId="165" fontId="16" fillId="0" borderId="0" xfId="55" applyNumberFormat="1" applyFont="1" applyFill="1" applyBorder="1">
      <alignment/>
      <protection/>
    </xf>
    <xf numFmtId="165" fontId="16" fillId="0" borderId="16" xfId="55" applyNumberFormat="1" applyFont="1" applyFill="1" applyBorder="1">
      <alignment/>
      <protection/>
    </xf>
    <xf numFmtId="165" fontId="20" fillId="0" borderId="0" xfId="55" applyNumberFormat="1" applyFont="1" applyFill="1" applyBorder="1">
      <alignment/>
      <protection/>
    </xf>
    <xf numFmtId="3" fontId="4" fillId="0" borderId="12" xfId="55" applyNumberFormat="1" applyFont="1" applyFill="1" applyBorder="1" applyAlignment="1">
      <alignment/>
      <protection/>
    </xf>
    <xf numFmtId="195" fontId="4" fillId="0" borderId="12" xfId="55" applyNumberFormat="1" applyFont="1" applyFill="1" applyBorder="1" applyAlignment="1">
      <alignment wrapText="1"/>
      <protection/>
    </xf>
    <xf numFmtId="165" fontId="20" fillId="0" borderId="12" xfId="55" applyNumberFormat="1" applyFont="1" applyFill="1" applyBorder="1">
      <alignment/>
      <protection/>
    </xf>
    <xf numFmtId="0" fontId="27" fillId="0" borderId="2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vertical="top" wrapText="1"/>
    </xf>
    <xf numFmtId="0" fontId="0" fillId="0" borderId="12" xfId="0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28" fillId="0" borderId="0" xfId="55" applyFont="1" applyFill="1" applyBorder="1">
      <alignment/>
      <protection/>
    </xf>
    <xf numFmtId="0" fontId="28" fillId="0" borderId="16" xfId="55" applyFont="1" applyFill="1" applyBorder="1">
      <alignment/>
      <protection/>
    </xf>
    <xf numFmtId="165" fontId="20" fillId="0" borderId="16" xfId="55" applyNumberFormat="1" applyFont="1" applyFill="1" applyBorder="1">
      <alignment/>
      <protection/>
    </xf>
    <xf numFmtId="0" fontId="13" fillId="0" borderId="13" xfId="0" applyFont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26" fillId="0" borderId="13" xfId="34" applyFont="1" applyFill="1" applyBorder="1" applyAlignment="1">
      <alignment vertical="top" wrapText="1"/>
      <protection/>
    </xf>
    <xf numFmtId="3" fontId="26" fillId="0" borderId="13" xfId="0" applyNumberFormat="1" applyFont="1" applyFill="1" applyBorder="1" applyAlignment="1">
      <alignment vertical="center" wrapText="1"/>
    </xf>
    <xf numFmtId="0" fontId="17" fillId="0" borderId="16" xfId="55" applyFont="1" applyFill="1" applyBorder="1" applyAlignment="1">
      <alignment horizontal="center" vertical="top" wrapText="1"/>
      <protection/>
    </xf>
    <xf numFmtId="0" fontId="16" fillId="33" borderId="31" xfId="55" applyFont="1" applyFill="1" applyBorder="1" applyAlignment="1">
      <alignment horizontal="right" wrapText="1"/>
      <protection/>
    </xf>
    <xf numFmtId="4" fontId="24" fillId="34" borderId="23" xfId="0" applyNumberFormat="1" applyFont="1" applyFill="1" applyBorder="1" applyAlignment="1">
      <alignment/>
    </xf>
    <xf numFmtId="4" fontId="24" fillId="0" borderId="20" xfId="0" applyNumberFormat="1" applyFont="1" applyBorder="1" applyAlignment="1">
      <alignment/>
    </xf>
    <xf numFmtId="4" fontId="24" fillId="34" borderId="23" xfId="0" applyNumberFormat="1" applyFont="1" applyFill="1" applyBorder="1" applyAlignment="1">
      <alignment/>
    </xf>
    <xf numFmtId="4" fontId="24" fillId="0" borderId="20" xfId="0" applyNumberFormat="1" applyFont="1" applyBorder="1" applyAlignment="1">
      <alignment/>
    </xf>
    <xf numFmtId="4" fontId="24" fillId="34" borderId="13" xfId="0" applyNumberFormat="1" applyFont="1" applyFill="1" applyBorder="1" applyAlignment="1">
      <alignment/>
    </xf>
    <xf numFmtId="4" fontId="24" fillId="34" borderId="33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Border="1" applyAlignment="1">
      <alignment/>
    </xf>
    <xf numFmtId="4" fontId="20" fillId="0" borderId="24" xfId="0" applyNumberFormat="1" applyFont="1" applyBorder="1" applyAlignment="1">
      <alignment/>
    </xf>
    <xf numFmtId="4" fontId="24" fillId="0" borderId="20" xfId="0" applyNumberFormat="1" applyFont="1" applyFill="1" applyBorder="1" applyAlignment="1">
      <alignment/>
    </xf>
    <xf numFmtId="4" fontId="24" fillId="0" borderId="20" xfId="0" applyNumberFormat="1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4" fontId="14" fillId="0" borderId="10" xfId="0" applyNumberFormat="1" applyFont="1" applyFill="1" applyBorder="1" applyAlignment="1">
      <alignment horizontal="left"/>
    </xf>
    <xf numFmtId="4" fontId="22" fillId="0" borderId="11" xfId="0" applyNumberFormat="1" applyFont="1" applyFill="1" applyBorder="1" applyAlignment="1">
      <alignment vertical="top" wrapText="1"/>
    </xf>
    <xf numFmtId="207" fontId="15" fillId="0" borderId="11" xfId="0" applyNumberFormat="1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horizontal="center"/>
    </xf>
    <xf numFmtId="0" fontId="29" fillId="0" borderId="20" xfId="0" applyNumberFormat="1" applyFont="1" applyBorder="1" applyAlignment="1">
      <alignment horizontal="center"/>
    </xf>
    <xf numFmtId="0" fontId="29" fillId="0" borderId="0" xfId="0" applyFont="1" applyBorder="1" applyAlignment="1" quotePrefix="1">
      <alignment vertical="top"/>
    </xf>
    <xf numFmtId="0" fontId="29" fillId="0" borderId="0" xfId="0" applyFont="1" applyBorder="1" applyAlignment="1" quotePrefix="1">
      <alignment horizontal="left"/>
    </xf>
    <xf numFmtId="165" fontId="22" fillId="0" borderId="11" xfId="0" applyNumberFormat="1" applyFont="1" applyFill="1" applyBorder="1" applyAlignment="1">
      <alignment vertical="top" wrapText="1"/>
    </xf>
    <xf numFmtId="0" fontId="26" fillId="33" borderId="30" xfId="0" applyFont="1" applyFill="1" applyBorder="1" applyAlignment="1">
      <alignment horizontal="center" vertical="top" wrapText="1"/>
    </xf>
    <xf numFmtId="3" fontId="27" fillId="36" borderId="13" xfId="0" applyNumberFormat="1" applyFont="1" applyFill="1" applyBorder="1" applyAlignment="1">
      <alignment wrapText="1"/>
    </xf>
    <xf numFmtId="3" fontId="27" fillId="36" borderId="13" xfId="0" applyNumberFormat="1" applyFont="1" applyFill="1" applyBorder="1" applyAlignment="1">
      <alignment/>
    </xf>
    <xf numFmtId="3" fontId="27" fillId="36" borderId="34" xfId="0" applyNumberFormat="1" applyFont="1" applyFill="1" applyBorder="1" applyAlignment="1">
      <alignment/>
    </xf>
    <xf numFmtId="3" fontId="16" fillId="36" borderId="13" xfId="0" applyNumberFormat="1" applyFont="1" applyFill="1" applyBorder="1" applyAlignment="1">
      <alignment/>
    </xf>
    <xf numFmtId="4" fontId="16" fillId="36" borderId="13" xfId="0" applyNumberFormat="1" applyFont="1" applyFill="1" applyBorder="1" applyAlignment="1">
      <alignment/>
    </xf>
    <xf numFmtId="4" fontId="17" fillId="36" borderId="13" xfId="0" applyNumberFormat="1" applyFont="1" applyFill="1" applyBorder="1" applyAlignment="1">
      <alignment vertical="center"/>
    </xf>
    <xf numFmtId="3" fontId="16" fillId="36" borderId="34" xfId="0" applyNumberFormat="1" applyFont="1" applyFill="1" applyBorder="1" applyAlignment="1">
      <alignment/>
    </xf>
    <xf numFmtId="0" fontId="0" fillId="0" borderId="32" xfId="0" applyFont="1" applyBorder="1" applyAlignment="1">
      <alignment horizontal="center" vertical="top" wrapText="1"/>
    </xf>
    <xf numFmtId="3" fontId="26" fillId="33" borderId="13" xfId="0" applyNumberFormat="1" applyFont="1" applyFill="1" applyBorder="1" applyAlignment="1">
      <alignment vertical="center" wrapText="1"/>
    </xf>
    <xf numFmtId="166" fontId="16" fillId="33" borderId="13" xfId="0" applyNumberFormat="1" applyFont="1" applyFill="1" applyBorder="1" applyAlignment="1">
      <alignment/>
    </xf>
    <xf numFmtId="43" fontId="0" fillId="0" borderId="0" xfId="65" applyFont="1" applyFill="1" applyBorder="1" applyAlignment="1">
      <alignment/>
    </xf>
    <xf numFmtId="43" fontId="13" fillId="0" borderId="0" xfId="65" applyFont="1" applyFill="1" applyBorder="1" applyAlignment="1">
      <alignment/>
    </xf>
    <xf numFmtId="0" fontId="26" fillId="0" borderId="35" xfId="0" applyFont="1" applyFill="1" applyBorder="1" applyAlignment="1">
      <alignment horizontal="center" vertical="top" wrapText="1"/>
    </xf>
    <xf numFmtId="4" fontId="5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13" fillId="0" borderId="13" xfId="0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43" fontId="13" fillId="0" borderId="0" xfId="65" applyFont="1" applyFill="1" applyBorder="1" applyAlignment="1">
      <alignment horizontal="center" shrinkToFit="1"/>
    </xf>
    <xf numFmtId="0" fontId="0" fillId="0" borderId="13" xfId="0" applyBorder="1" applyAlignment="1">
      <alignment wrapText="1"/>
    </xf>
    <xf numFmtId="3" fontId="27" fillId="33" borderId="13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top" wrapText="1"/>
    </xf>
    <xf numFmtId="0" fontId="30" fillId="0" borderId="36" xfId="0" applyFont="1" applyBorder="1" applyAlignment="1">
      <alignment/>
    </xf>
    <xf numFmtId="3" fontId="32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166" fontId="33" fillId="0" borderId="0" xfId="0" applyNumberFormat="1" applyFont="1" applyFill="1" applyBorder="1" applyAlignment="1">
      <alignment horizontal="center"/>
    </xf>
    <xf numFmtId="43" fontId="13" fillId="0" borderId="0" xfId="65" applyFont="1" applyFill="1" applyBorder="1" applyAlignment="1">
      <alignment shrinkToFit="1"/>
    </xf>
    <xf numFmtId="0" fontId="0" fillId="0" borderId="12" xfId="0" applyFont="1" applyFill="1" applyBorder="1" applyAlignment="1">
      <alignment/>
    </xf>
    <xf numFmtId="0" fontId="26" fillId="33" borderId="28" xfId="0" applyFont="1" applyFill="1" applyBorder="1" applyAlignment="1">
      <alignment horizontal="center" vertical="top" wrapText="1"/>
    </xf>
    <xf numFmtId="189" fontId="16" fillId="36" borderId="13" xfId="0" applyNumberFormat="1" applyFont="1" applyFill="1" applyBorder="1" applyAlignment="1">
      <alignment/>
    </xf>
    <xf numFmtId="189" fontId="17" fillId="36" borderId="13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17" fillId="0" borderId="11" xfId="55" applyFont="1" applyFill="1" applyBorder="1" applyAlignment="1">
      <alignment horizontal="center" vertical="top" wrapText="1"/>
      <protection/>
    </xf>
    <xf numFmtId="0" fontId="17" fillId="0" borderId="36" xfId="55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Data2000" xfId="33"/>
    <cellStyle name="Normal_Regional Data for IG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оэффициент к заработной плат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tabSelected="1" zoomScalePageLayoutView="0" workbookViewId="0" topLeftCell="A1">
      <selection activeCell="A4" sqref="A4"/>
    </sheetView>
  </sheetViews>
  <sheetFormatPr defaultColWidth="9.33203125" defaultRowHeight="12.75"/>
  <cols>
    <col min="1" max="1" width="21.66015625" style="0" customWidth="1"/>
    <col min="10" max="10" width="41.66015625" style="0" customWidth="1"/>
  </cols>
  <sheetData>
    <row r="2" spans="1:11" ht="15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1" ht="12.75">
      <c r="A4" s="220">
        <v>17516</v>
      </c>
      <c r="B4" s="121" t="s">
        <v>74</v>
      </c>
      <c r="C4" s="77"/>
      <c r="D4" s="77"/>
      <c r="E4" s="77"/>
      <c r="F4" s="77"/>
      <c r="G4" s="77"/>
      <c r="H4" s="77"/>
      <c r="I4" s="77"/>
      <c r="J4" s="82"/>
      <c r="K4" s="82"/>
    </row>
    <row r="5" spans="1:11" ht="12.75">
      <c r="A5" s="83"/>
      <c r="B5" s="84"/>
      <c r="C5" s="82"/>
      <c r="D5" s="82"/>
      <c r="E5" s="82"/>
      <c r="F5" s="82"/>
      <c r="G5" s="82"/>
      <c r="H5" s="82"/>
      <c r="I5" s="82"/>
      <c r="J5" s="82"/>
      <c r="K5" s="82"/>
    </row>
    <row r="6" spans="1:11" ht="12.75">
      <c r="A6" s="143"/>
      <c r="B6" s="117"/>
      <c r="C6" s="117"/>
      <c r="D6" s="117"/>
      <c r="E6" s="117"/>
      <c r="F6" s="117"/>
      <c r="G6" s="117"/>
      <c r="H6" s="117"/>
      <c r="I6" s="117"/>
      <c r="J6" s="117"/>
      <c r="K6" s="86"/>
    </row>
    <row r="7" spans="1:11" ht="19.5" thickBot="1">
      <c r="A7" s="87"/>
      <c r="B7" s="133" t="s">
        <v>75</v>
      </c>
      <c r="C7" s="95"/>
      <c r="D7" s="95"/>
      <c r="E7" s="88"/>
      <c r="F7" s="88"/>
      <c r="G7" s="88"/>
      <c r="H7" s="88"/>
      <c r="I7" s="88"/>
      <c r="J7" s="82"/>
      <c r="K7" s="86"/>
    </row>
    <row r="8" spans="1:11" ht="12.75">
      <c r="A8" s="118"/>
      <c r="B8" s="119"/>
      <c r="C8" s="119"/>
      <c r="D8" s="119"/>
      <c r="E8" s="119"/>
      <c r="F8" s="119"/>
      <c r="G8" s="119"/>
      <c r="H8" s="119"/>
      <c r="I8" s="119"/>
      <c r="J8" s="120"/>
      <c r="K8" s="86"/>
    </row>
    <row r="9" spans="1:11" ht="12.75">
      <c r="A9" s="225"/>
      <c r="B9" s="89"/>
      <c r="C9" s="89"/>
      <c r="D9" s="89"/>
      <c r="E9" s="89"/>
      <c r="F9" s="89"/>
      <c r="G9" s="89"/>
      <c r="H9" s="89"/>
      <c r="I9" s="89"/>
      <c r="J9" s="90"/>
      <c r="K9" s="86"/>
    </row>
    <row r="10" spans="1:11" ht="12.75">
      <c r="A10" s="209">
        <v>0.8</v>
      </c>
      <c r="B10" s="123" t="s">
        <v>116</v>
      </c>
      <c r="C10" s="124"/>
      <c r="D10" s="124"/>
      <c r="E10" s="124"/>
      <c r="F10" s="124"/>
      <c r="G10" s="124"/>
      <c r="H10" s="124"/>
      <c r="I10" s="124"/>
      <c r="J10" s="125"/>
      <c r="K10" s="86"/>
    </row>
    <row r="11" spans="1:11" ht="12.75">
      <c r="A11" s="210"/>
      <c r="B11" s="113"/>
      <c r="C11" s="113"/>
      <c r="D11" s="113"/>
      <c r="E11" s="113"/>
      <c r="F11" s="113"/>
      <c r="G11" s="113"/>
      <c r="H11" s="113"/>
      <c r="I11" s="113"/>
      <c r="J11" s="122"/>
      <c r="K11" s="86"/>
    </row>
    <row r="12" spans="1:11" ht="12.75">
      <c r="A12" s="211">
        <v>0.15</v>
      </c>
      <c r="B12" s="126" t="s">
        <v>117</v>
      </c>
      <c r="C12" s="127"/>
      <c r="D12" s="127"/>
      <c r="E12" s="127"/>
      <c r="F12" s="127"/>
      <c r="G12" s="127"/>
      <c r="H12" s="127"/>
      <c r="I12" s="127"/>
      <c r="J12" s="128"/>
      <c r="K12" s="86"/>
    </row>
    <row r="13" spans="1:16" ht="12.75">
      <c r="A13" s="212"/>
      <c r="B13" s="127"/>
      <c r="C13" s="127"/>
      <c r="D13" s="127"/>
      <c r="E13" s="127"/>
      <c r="F13" s="127"/>
      <c r="G13" s="127"/>
      <c r="H13" s="127"/>
      <c r="I13" s="127"/>
      <c r="J13" s="128"/>
      <c r="K13" s="86"/>
      <c r="P13" s="78"/>
    </row>
    <row r="14" spans="1:16" ht="12.75">
      <c r="A14" s="213">
        <v>0</v>
      </c>
      <c r="B14" s="126" t="s">
        <v>118</v>
      </c>
      <c r="C14" s="127"/>
      <c r="D14" s="127"/>
      <c r="E14" s="127"/>
      <c r="F14" s="127"/>
      <c r="G14" s="127"/>
      <c r="H14" s="127"/>
      <c r="I14" s="127"/>
      <c r="J14" s="128"/>
      <c r="K14" s="86"/>
      <c r="P14" s="78"/>
    </row>
    <row r="15" spans="1:16" ht="12.75">
      <c r="A15" s="212"/>
      <c r="B15" s="127"/>
      <c r="C15" s="127"/>
      <c r="D15" s="127"/>
      <c r="E15" s="127"/>
      <c r="F15" s="127"/>
      <c r="G15" s="127"/>
      <c r="H15" s="127"/>
      <c r="I15" s="127"/>
      <c r="J15" s="128"/>
      <c r="K15" s="86"/>
      <c r="P15" s="78"/>
    </row>
    <row r="16" spans="1:11" ht="13.5" thickBot="1">
      <c r="A16" s="214">
        <v>0.05</v>
      </c>
      <c r="B16" s="136" t="s">
        <v>119</v>
      </c>
      <c r="C16" s="139"/>
      <c r="D16" s="139"/>
      <c r="E16" s="139"/>
      <c r="F16" s="139"/>
      <c r="G16" s="139"/>
      <c r="H16" s="139"/>
      <c r="I16" s="139"/>
      <c r="J16" s="129"/>
      <c r="K16" s="86"/>
    </row>
    <row r="17" spans="1:11" ht="12.75">
      <c r="A17" s="215"/>
      <c r="B17" s="95"/>
      <c r="C17" s="95"/>
      <c r="D17" s="95"/>
      <c r="E17" s="95"/>
      <c r="F17" s="95"/>
      <c r="G17" s="95"/>
      <c r="H17" s="95"/>
      <c r="I17" s="95"/>
      <c r="J17" s="130"/>
      <c r="K17" s="141"/>
    </row>
    <row r="18" spans="1:11" ht="13.5" thickBot="1">
      <c r="A18" s="216"/>
      <c r="B18" s="77"/>
      <c r="C18" s="76"/>
      <c r="D18" s="76"/>
      <c r="E18" s="76"/>
      <c r="F18" s="76"/>
      <c r="G18" s="76"/>
      <c r="H18" s="76"/>
      <c r="I18" s="76"/>
      <c r="J18" s="76"/>
      <c r="K18" s="141"/>
    </row>
    <row r="19" spans="1:11" ht="12.75">
      <c r="A19" s="217" t="s">
        <v>68</v>
      </c>
      <c r="B19" s="119"/>
      <c r="C19" s="119"/>
      <c r="D19" s="119"/>
      <c r="E19" s="119"/>
      <c r="F19" s="119"/>
      <c r="G19" s="119"/>
      <c r="H19" s="119"/>
      <c r="I19" s="119"/>
      <c r="J19" s="120"/>
      <c r="K19" s="141"/>
    </row>
    <row r="20" spans="1:11" ht="12.75">
      <c r="A20" s="212"/>
      <c r="B20" s="131"/>
      <c r="C20" s="131"/>
      <c r="D20" s="131"/>
      <c r="E20" s="131"/>
      <c r="F20" s="131"/>
      <c r="G20" s="131"/>
      <c r="H20" s="131"/>
      <c r="I20" s="126"/>
      <c r="J20" s="125"/>
      <c r="K20" s="86"/>
    </row>
    <row r="21" spans="1:11" ht="12.75">
      <c r="A21" s="211">
        <v>0.95</v>
      </c>
      <c r="B21" s="140" t="s">
        <v>76</v>
      </c>
      <c r="C21" s="135"/>
      <c r="D21" s="135"/>
      <c r="E21" s="135"/>
      <c r="F21" s="135"/>
      <c r="G21" s="135"/>
      <c r="H21" s="135"/>
      <c r="I21" s="135"/>
      <c r="J21" s="132"/>
      <c r="K21" s="92"/>
    </row>
    <row r="22" spans="1:11" ht="12.75">
      <c r="A22" s="218"/>
      <c r="B22" s="226" t="s">
        <v>120</v>
      </c>
      <c r="C22" s="135"/>
      <c r="D22" s="135"/>
      <c r="E22" s="135"/>
      <c r="F22" s="135"/>
      <c r="G22" s="135"/>
      <c r="H22" s="135"/>
      <c r="I22" s="135"/>
      <c r="J22" s="132"/>
      <c r="K22" s="92"/>
    </row>
    <row r="23" spans="1:11" ht="12.75">
      <c r="A23" s="211">
        <v>1</v>
      </c>
      <c r="B23" s="101" t="s">
        <v>113</v>
      </c>
      <c r="C23" s="93"/>
      <c r="D23" s="93"/>
      <c r="E23" s="93"/>
      <c r="F23" s="93"/>
      <c r="G23" s="93"/>
      <c r="H23" s="93"/>
      <c r="I23" s="93"/>
      <c r="J23" s="94"/>
      <c r="K23" s="95"/>
    </row>
    <row r="24" spans="1:11" ht="12.75">
      <c r="A24" s="219"/>
      <c r="B24" s="227" t="s">
        <v>120</v>
      </c>
      <c r="C24" s="85"/>
      <c r="D24" s="85"/>
      <c r="E24" s="85"/>
      <c r="F24" s="85"/>
      <c r="G24" s="85"/>
      <c r="H24" s="85"/>
      <c r="I24" s="85"/>
      <c r="J24" s="96"/>
      <c r="K24" s="97"/>
    </row>
    <row r="25" spans="1:11" ht="12.75">
      <c r="A25" s="213">
        <v>1.7</v>
      </c>
      <c r="B25" s="140" t="s">
        <v>77</v>
      </c>
      <c r="C25" s="93"/>
      <c r="D25" s="93"/>
      <c r="E25" s="93"/>
      <c r="F25" s="93"/>
      <c r="G25" s="93"/>
      <c r="H25" s="93"/>
      <c r="I25" s="93"/>
      <c r="J25" s="98"/>
      <c r="K25" s="99"/>
    </row>
    <row r="26" spans="1:11" ht="12.75">
      <c r="A26" s="218"/>
      <c r="B26" s="227" t="s">
        <v>121</v>
      </c>
      <c r="C26" s="93"/>
      <c r="D26" s="93"/>
      <c r="E26" s="93"/>
      <c r="F26" s="93"/>
      <c r="G26" s="93"/>
      <c r="H26" s="93"/>
      <c r="I26" s="93"/>
      <c r="J26" s="98"/>
      <c r="K26" s="99"/>
    </row>
    <row r="27" spans="1:11" ht="12.75">
      <c r="A27" s="216"/>
      <c r="B27" s="93"/>
      <c r="C27" s="93"/>
      <c r="D27" s="93"/>
      <c r="E27" s="93"/>
      <c r="F27" s="93"/>
      <c r="G27" s="93"/>
      <c r="H27" s="93"/>
      <c r="I27" s="93"/>
      <c r="J27" s="98"/>
      <c r="K27" s="99"/>
    </row>
    <row r="28" spans="1:11" ht="12.75">
      <c r="A28" s="100"/>
      <c r="B28" s="93"/>
      <c r="C28" s="101"/>
      <c r="D28" s="101"/>
      <c r="E28" s="101"/>
      <c r="F28" s="101"/>
      <c r="G28" s="101"/>
      <c r="H28" s="101"/>
      <c r="I28" s="134"/>
      <c r="J28" s="90"/>
      <c r="K28" s="82"/>
    </row>
    <row r="29" spans="1:11" ht="13.5" thickBot="1">
      <c r="A29" s="102"/>
      <c r="B29" s="103"/>
      <c r="C29" s="104"/>
      <c r="D29" s="104"/>
      <c r="E29" s="104"/>
      <c r="F29" s="104"/>
      <c r="G29" s="104"/>
      <c r="H29" s="104"/>
      <c r="I29" s="104"/>
      <c r="J29" s="91"/>
      <c r="K29" s="82"/>
    </row>
    <row r="30" spans="1:11" ht="12.75">
      <c r="A30" s="105"/>
      <c r="B30" s="85"/>
      <c r="C30" s="85"/>
      <c r="D30" s="85"/>
      <c r="E30" s="85"/>
      <c r="F30" s="85"/>
      <c r="G30" s="85"/>
      <c r="H30" s="85"/>
      <c r="I30" s="85"/>
      <c r="J30" s="85"/>
      <c r="K30" s="10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F8" sqref="F8"/>
    </sheetView>
  </sheetViews>
  <sheetFormatPr defaultColWidth="15.66015625" defaultRowHeight="12.75"/>
  <cols>
    <col min="1" max="1" width="3.16015625" style="112" bestFit="1" customWidth="1"/>
    <col min="2" max="2" width="30.66015625" style="111" customWidth="1"/>
    <col min="3" max="3" width="14.83203125" style="112" customWidth="1"/>
    <col min="4" max="4" width="14.16015625" style="112" customWidth="1"/>
    <col min="5" max="5" width="18.83203125" style="112" customWidth="1"/>
    <col min="6" max="6" width="16.33203125" style="112" customWidth="1"/>
    <col min="7" max="7" width="13" style="112" customWidth="1"/>
    <col min="8" max="8" width="14.5" style="111" customWidth="1"/>
    <col min="9" max="9" width="15.66015625" style="111" customWidth="1"/>
    <col min="10" max="10" width="9.16015625" style="111" customWidth="1"/>
    <col min="11" max="14" width="13.33203125" style="111" customWidth="1"/>
    <col min="15" max="16384" width="15.66015625" style="111" customWidth="1"/>
  </cols>
  <sheetData>
    <row r="1" spans="1:10" s="107" customFormat="1" ht="13.5" customHeight="1" thickBot="1">
      <c r="A1" s="106"/>
      <c r="B1" s="107" t="s">
        <v>69</v>
      </c>
      <c r="C1" s="108" t="s">
        <v>70</v>
      </c>
      <c r="D1" s="108" t="s">
        <v>78</v>
      </c>
      <c r="E1" s="108" t="s">
        <v>70</v>
      </c>
      <c r="F1" s="108" t="s">
        <v>70</v>
      </c>
      <c r="G1" s="108" t="s">
        <v>70</v>
      </c>
      <c r="H1" s="107" t="s">
        <v>78</v>
      </c>
      <c r="I1" s="107" t="s">
        <v>80</v>
      </c>
      <c r="J1" s="107" t="s">
        <v>96</v>
      </c>
    </row>
    <row r="2" spans="1:14" s="161" customFormat="1" ht="102.75" customHeight="1" thickBot="1">
      <c r="A2" s="160" t="s">
        <v>71</v>
      </c>
      <c r="B2" s="158" t="s">
        <v>131</v>
      </c>
      <c r="C2" s="158" t="s">
        <v>134</v>
      </c>
      <c r="D2" s="265" t="s">
        <v>135</v>
      </c>
      <c r="E2" s="265" t="s">
        <v>136</v>
      </c>
      <c r="F2" s="158" t="s">
        <v>98</v>
      </c>
      <c r="G2" s="158" t="s">
        <v>72</v>
      </c>
      <c r="H2" s="229" t="s">
        <v>79</v>
      </c>
      <c r="I2" s="162" t="s">
        <v>81</v>
      </c>
      <c r="J2" s="172"/>
      <c r="K2" s="204" t="s">
        <v>89</v>
      </c>
      <c r="L2" s="203" t="s">
        <v>90</v>
      </c>
      <c r="M2" s="203" t="s">
        <v>91</v>
      </c>
      <c r="N2" s="203" t="s">
        <v>92</v>
      </c>
    </row>
    <row r="3" spans="1:14" ht="12">
      <c r="A3" s="109">
        <v>1</v>
      </c>
      <c r="B3" s="159" t="s">
        <v>125</v>
      </c>
      <c r="C3" s="230">
        <v>6229</v>
      </c>
      <c r="D3" s="250">
        <v>0</v>
      </c>
      <c r="E3" s="250">
        <v>0</v>
      </c>
      <c r="F3" s="230">
        <v>1459</v>
      </c>
      <c r="G3" s="230">
        <v>1294</v>
      </c>
      <c r="H3" s="232"/>
      <c r="I3" s="236">
        <v>8278</v>
      </c>
      <c r="J3" s="239">
        <v>1</v>
      </c>
      <c r="K3" s="266">
        <v>5.77483</v>
      </c>
      <c r="L3" s="234">
        <v>2656.1</v>
      </c>
      <c r="M3" s="234">
        <v>54.72</v>
      </c>
      <c r="N3" s="234">
        <v>19.09</v>
      </c>
    </row>
    <row r="4" spans="1:14" ht="12">
      <c r="A4" s="109">
        <v>2</v>
      </c>
      <c r="B4" s="159" t="s">
        <v>126</v>
      </c>
      <c r="C4" s="230">
        <v>5650</v>
      </c>
      <c r="D4" s="250">
        <v>0</v>
      </c>
      <c r="E4" s="250">
        <v>0</v>
      </c>
      <c r="F4" s="230">
        <v>1484</v>
      </c>
      <c r="G4" s="230">
        <v>1271</v>
      </c>
      <c r="H4" s="231">
        <v>17</v>
      </c>
      <c r="I4" s="233">
        <v>3467</v>
      </c>
      <c r="J4" s="239">
        <v>1</v>
      </c>
      <c r="K4" s="266">
        <v>5.77483</v>
      </c>
      <c r="L4" s="234">
        <v>2639.52</v>
      </c>
      <c r="M4" s="234">
        <v>43.7</v>
      </c>
      <c r="N4" s="234">
        <v>18.27</v>
      </c>
    </row>
    <row r="5" spans="1:14" ht="12">
      <c r="A5" s="109">
        <v>3</v>
      </c>
      <c r="B5" s="159" t="s">
        <v>127</v>
      </c>
      <c r="C5" s="230">
        <v>3199</v>
      </c>
      <c r="D5" s="250">
        <v>0</v>
      </c>
      <c r="E5" s="250">
        <v>0</v>
      </c>
      <c r="F5" s="230">
        <v>516</v>
      </c>
      <c r="G5" s="230">
        <v>767</v>
      </c>
      <c r="H5" s="231"/>
      <c r="I5" s="233">
        <v>1630</v>
      </c>
      <c r="J5" s="239">
        <v>1</v>
      </c>
      <c r="K5" s="266">
        <v>5.77483</v>
      </c>
      <c r="L5" s="234">
        <v>2639.52</v>
      </c>
      <c r="M5" s="234">
        <v>30.07</v>
      </c>
      <c r="N5" s="234">
        <v>13.88</v>
      </c>
    </row>
    <row r="6" spans="1:14" ht="12">
      <c r="A6" s="109">
        <v>4</v>
      </c>
      <c r="B6" s="159" t="s">
        <v>128</v>
      </c>
      <c r="C6" s="230">
        <v>5404</v>
      </c>
      <c r="D6" s="250">
        <v>0</v>
      </c>
      <c r="E6" s="250">
        <v>0</v>
      </c>
      <c r="F6" s="230">
        <v>1105</v>
      </c>
      <c r="G6" s="230">
        <v>1170</v>
      </c>
      <c r="H6" s="231">
        <v>25</v>
      </c>
      <c r="I6" s="233">
        <v>4461</v>
      </c>
      <c r="J6" s="239">
        <v>1</v>
      </c>
      <c r="K6" s="266">
        <v>5.77483</v>
      </c>
      <c r="L6" s="234">
        <v>2639.52</v>
      </c>
      <c r="M6" s="234">
        <v>38.75</v>
      </c>
      <c r="N6" s="234">
        <v>0</v>
      </c>
    </row>
    <row r="7" spans="1:14" ht="12">
      <c r="A7" s="109">
        <v>5</v>
      </c>
      <c r="B7" s="159" t="s">
        <v>129</v>
      </c>
      <c r="C7" s="230">
        <f>3738+8</f>
        <v>3746</v>
      </c>
      <c r="D7" s="250">
        <v>0</v>
      </c>
      <c r="E7" s="250">
        <v>0</v>
      </c>
      <c r="F7" s="230">
        <v>1047</v>
      </c>
      <c r="G7" s="230">
        <v>923</v>
      </c>
      <c r="H7" s="231">
        <f>804+38</f>
        <v>842</v>
      </c>
      <c r="I7" s="233">
        <v>3026</v>
      </c>
      <c r="J7" s="239">
        <v>1</v>
      </c>
      <c r="K7" s="266">
        <v>5.77483</v>
      </c>
      <c r="L7" s="234">
        <v>2747.33</v>
      </c>
      <c r="M7" s="234">
        <v>56.81</v>
      </c>
      <c r="N7" s="234">
        <v>0</v>
      </c>
    </row>
    <row r="8" spans="1:14" ht="12">
      <c r="A8" s="109">
        <v>6</v>
      </c>
      <c r="B8" s="159" t="s">
        <v>130</v>
      </c>
      <c r="C8" s="230">
        <v>5326</v>
      </c>
      <c r="D8" s="250">
        <v>0</v>
      </c>
      <c r="E8" s="250">
        <v>0</v>
      </c>
      <c r="F8" s="230">
        <v>621</v>
      </c>
      <c r="G8" s="230">
        <v>381</v>
      </c>
      <c r="H8" s="231">
        <v>192</v>
      </c>
      <c r="I8" s="233">
        <v>4134</v>
      </c>
      <c r="J8" s="239">
        <v>1</v>
      </c>
      <c r="K8" s="266">
        <v>5.77483</v>
      </c>
      <c r="L8" s="234">
        <v>2420.17</v>
      </c>
      <c r="M8" s="234">
        <v>46.67</v>
      </c>
      <c r="N8" s="234">
        <v>43.11</v>
      </c>
    </row>
    <row r="9" spans="1:14" ht="36">
      <c r="A9" s="110"/>
      <c r="B9" s="205" t="s">
        <v>97</v>
      </c>
      <c r="C9" s="206">
        <f aca="true" t="shared" si="0" ref="C9:I9">SUM(C3:C8)</f>
        <v>29554</v>
      </c>
      <c r="D9" s="238">
        <f t="shared" si="0"/>
        <v>0</v>
      </c>
      <c r="E9" s="238">
        <f t="shared" si="0"/>
        <v>0</v>
      </c>
      <c r="F9" s="206">
        <f t="shared" si="0"/>
        <v>6232</v>
      </c>
      <c r="G9" s="206">
        <f t="shared" si="0"/>
        <v>5806</v>
      </c>
      <c r="H9" s="206">
        <f t="shared" si="0"/>
        <v>1076</v>
      </c>
      <c r="I9" s="206">
        <f t="shared" si="0"/>
        <v>24996</v>
      </c>
      <c r="J9" s="238">
        <v>1</v>
      </c>
      <c r="K9" s="267">
        <v>5.77483</v>
      </c>
      <c r="L9" s="235">
        <v>2603.97</v>
      </c>
      <c r="M9" s="235">
        <v>52.02</v>
      </c>
      <c r="N9" s="235">
        <v>18.81</v>
      </c>
    </row>
  </sheetData>
  <sheetProtection/>
  <printOptions/>
  <pageMargins left="0.35433070866141736" right="0.35433070866141736" top="0.787401574803149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showZero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"/>
    </sheetView>
  </sheetViews>
  <sheetFormatPr defaultColWidth="9.33203125" defaultRowHeight="12.75"/>
  <cols>
    <col min="1" max="1" width="3.83203125" style="4" customWidth="1"/>
    <col min="2" max="2" width="39" style="4" customWidth="1"/>
    <col min="3" max="3" width="13.83203125" style="4" customWidth="1"/>
    <col min="4" max="4" width="14.5" style="4" customWidth="1"/>
    <col min="5" max="6" width="14.33203125" style="4" customWidth="1"/>
    <col min="7" max="7" width="15" style="14" customWidth="1"/>
    <col min="8" max="8" width="15.5" style="4" customWidth="1"/>
    <col min="9" max="9" width="14" style="4" customWidth="1"/>
    <col min="10" max="10" width="13.33203125" style="4" customWidth="1"/>
    <col min="11" max="11" width="14.16015625" style="4" customWidth="1"/>
    <col min="12" max="12" width="16" style="4" customWidth="1"/>
    <col min="13" max="13" width="16.5" style="4" customWidth="1"/>
    <col min="14" max="14" width="18.16015625" style="14" customWidth="1"/>
    <col min="15" max="15" width="17.83203125" style="14" customWidth="1"/>
    <col min="16" max="16" width="14.5" style="14" customWidth="1"/>
    <col min="17" max="17" width="13.5" style="14" customWidth="1"/>
    <col min="18" max="18" width="20.33203125" style="14" customWidth="1"/>
    <col min="19" max="20" width="19.16015625" style="14" customWidth="1"/>
    <col min="21" max="21" width="17.66015625" style="14" customWidth="1"/>
    <col min="22" max="16384" width="9.33203125" style="4" customWidth="1"/>
  </cols>
  <sheetData>
    <row r="1" spans="1:21" ht="12.75" customHeight="1">
      <c r="A1" s="269" t="s">
        <v>84</v>
      </c>
      <c r="B1" s="271" t="s">
        <v>132</v>
      </c>
      <c r="C1" s="269" t="s">
        <v>0</v>
      </c>
      <c r="D1" s="269"/>
      <c r="E1" s="269"/>
      <c r="F1" s="269"/>
      <c r="G1" s="272" t="s">
        <v>1</v>
      </c>
      <c r="H1" s="272"/>
      <c r="I1" s="272"/>
      <c r="J1" s="269" t="s">
        <v>1</v>
      </c>
      <c r="K1" s="269"/>
      <c r="L1" s="269"/>
      <c r="M1" s="269"/>
      <c r="N1" s="1"/>
      <c r="O1" s="270" t="s">
        <v>2</v>
      </c>
      <c r="P1" s="270"/>
      <c r="Q1" s="270"/>
      <c r="R1" s="270"/>
      <c r="S1" s="270"/>
      <c r="T1" s="3"/>
      <c r="U1" s="1"/>
    </row>
    <row r="2" spans="1:21" ht="78" customHeight="1">
      <c r="A2" s="269"/>
      <c r="B2" s="271"/>
      <c r="C2" s="185" t="s">
        <v>134</v>
      </c>
      <c r="D2" s="1" t="s">
        <v>3</v>
      </c>
      <c r="E2" s="1" t="s">
        <v>4</v>
      </c>
      <c r="F2" s="1" t="s">
        <v>5</v>
      </c>
      <c r="G2" s="5" t="s">
        <v>6</v>
      </c>
      <c r="H2" s="2" t="s">
        <v>7</v>
      </c>
      <c r="I2" s="2" t="s">
        <v>8</v>
      </c>
      <c r="J2" s="5" t="s">
        <v>9</v>
      </c>
      <c r="K2" s="273" t="s">
        <v>10</v>
      </c>
      <c r="L2" s="273"/>
      <c r="M2" s="64" t="s">
        <v>11</v>
      </c>
      <c r="N2" s="63" t="s">
        <v>64</v>
      </c>
      <c r="O2" s="1" t="s">
        <v>12</v>
      </c>
      <c r="P2" s="1" t="s">
        <v>13</v>
      </c>
      <c r="Q2" s="269" t="s">
        <v>14</v>
      </c>
      <c r="R2" s="269"/>
      <c r="S2" s="65" t="s">
        <v>15</v>
      </c>
      <c r="T2" s="65" t="s">
        <v>65</v>
      </c>
      <c r="U2" s="6" t="s">
        <v>16</v>
      </c>
    </row>
    <row r="3" spans="2:21" s="7" customFormat="1" ht="27" customHeight="1">
      <c r="B3" s="7" t="s">
        <v>17</v>
      </c>
      <c r="C3" s="7" t="s">
        <v>18</v>
      </c>
      <c r="D3" s="7" t="s">
        <v>19</v>
      </c>
      <c r="E3" s="7" t="s">
        <v>99</v>
      </c>
      <c r="F3" s="7" t="s">
        <v>100</v>
      </c>
      <c r="G3" s="7" t="s">
        <v>31</v>
      </c>
      <c r="H3" s="7" t="s">
        <v>101</v>
      </c>
      <c r="I3" s="7" t="s">
        <v>20</v>
      </c>
      <c r="J3" s="7" t="s">
        <v>21</v>
      </c>
      <c r="K3" s="8" t="s">
        <v>102</v>
      </c>
      <c r="L3" s="8" t="s">
        <v>103</v>
      </c>
      <c r="M3" s="9" t="s">
        <v>104</v>
      </c>
      <c r="N3" s="9" t="s">
        <v>106</v>
      </c>
      <c r="O3" s="7" t="s">
        <v>107</v>
      </c>
      <c r="P3" s="7" t="s">
        <v>108</v>
      </c>
      <c r="Q3" s="7" t="s">
        <v>123</v>
      </c>
      <c r="R3" s="7" t="s">
        <v>109</v>
      </c>
      <c r="S3" s="7" t="s">
        <v>110</v>
      </c>
      <c r="T3" s="7" t="s">
        <v>111</v>
      </c>
      <c r="U3" s="7" t="s">
        <v>112</v>
      </c>
    </row>
    <row r="4" spans="1:21" ht="15.75" customHeight="1">
      <c r="A4" s="181"/>
      <c r="B4" s="181"/>
      <c r="C4" s="182"/>
      <c r="D4" s="182"/>
      <c r="E4" s="182"/>
      <c r="F4" s="182"/>
      <c r="G4" s="183"/>
      <c r="H4" s="182"/>
      <c r="I4" s="182"/>
      <c r="J4" s="182"/>
      <c r="K4" s="182"/>
      <c r="L4" s="182"/>
      <c r="M4" s="221">
        <f>'Основные параметры и коэффициен'!A10</f>
        <v>0.8</v>
      </c>
      <c r="N4" s="221">
        <f>'Основные параметры и коэффициен'!A12</f>
        <v>0.15</v>
      </c>
      <c r="O4" s="182"/>
      <c r="P4" s="182"/>
      <c r="Q4" s="182"/>
      <c r="R4" s="182"/>
      <c r="S4" s="221">
        <f>'Основные параметры и коэффициен'!A16</f>
        <v>0.05</v>
      </c>
      <c r="T4" s="221">
        <f>'Основные параметры и коэффициен'!A14</f>
        <v>0</v>
      </c>
      <c r="U4" s="184"/>
    </row>
    <row r="5" spans="1:21" ht="12.75">
      <c r="A5" s="3">
        <v>1</v>
      </c>
      <c r="B5" s="53" t="str">
        <f>'Исходные данные'!B3</f>
        <v>Вл.-Александровское</v>
      </c>
      <c r="C5" s="12">
        <f>'Исходные данные'!C3</f>
        <v>6229</v>
      </c>
      <c r="D5" s="10">
        <f>'Исходные данные'!H3/'Исходные данные'!C3</f>
        <v>0</v>
      </c>
      <c r="E5" s="144">
        <f aca="true" t="shared" si="0" ref="E5:E11">1+D5</f>
        <v>1</v>
      </c>
      <c r="F5" s="144">
        <f aca="true" t="shared" si="1" ref="F5:F11">E5/$E$11</f>
        <v>0.962</v>
      </c>
      <c r="G5" s="145">
        <f>' районный коэффициент'!O6</f>
        <v>1.625</v>
      </c>
      <c r="H5" s="145">
        <f>' районный коэффициент'!Q6</f>
        <v>0</v>
      </c>
      <c r="I5" s="145">
        <f>' районный коэффициент'!P6</f>
        <v>0.25</v>
      </c>
      <c r="J5" s="11">
        <f>' районный коэффициент'!R6</f>
        <v>0</v>
      </c>
      <c r="K5" s="11">
        <f aca="true" t="shared" si="2" ref="K5:K12">(J5+I5+H5+G5)*F5</f>
        <v>1.804</v>
      </c>
      <c r="L5" s="10">
        <f aca="true" t="shared" si="3" ref="L5:L10">K5*C5</f>
        <v>11237.12</v>
      </c>
      <c r="M5" s="146">
        <f aca="true" t="shared" si="4" ref="M5:M10">K5/$L$11</f>
        <v>0.96</v>
      </c>
      <c r="N5" s="147">
        <f>'тарифы(коэф. КУ)'!K4</f>
        <v>1.002</v>
      </c>
      <c r="O5" s="13">
        <f>('Исходные данные'!F3+'Исходные данные'!G3)/'Исходные данные'!C3</f>
        <v>0.442</v>
      </c>
      <c r="P5" s="13">
        <f aca="true" t="shared" si="5" ref="P5:P11">O5/$O$11</f>
        <v>1.0852</v>
      </c>
      <c r="Q5" s="13">
        <f aca="true" t="shared" si="6" ref="Q5:Q11">P5*F5*1.2</f>
        <v>1.2528</v>
      </c>
      <c r="R5" s="148">
        <f aca="true" t="shared" si="7" ref="R5:R10">Q5*C5</f>
        <v>7803.691</v>
      </c>
      <c r="S5" s="149">
        <f aca="true" t="shared" si="8" ref="S5:S10">Q5/$R$11</f>
        <v>1.0443</v>
      </c>
      <c r="T5" s="149"/>
      <c r="U5" s="150">
        <f aca="true" t="shared" si="9" ref="U5:U10">$M$4*M5+$N$4*N5+$S$4*S5+$T$4*T5</f>
        <v>0.9705</v>
      </c>
    </row>
    <row r="6" spans="1:21" ht="12.75">
      <c r="A6" s="3">
        <v>2</v>
      </c>
      <c r="B6" s="53" t="str">
        <f>'Исходные данные'!B4</f>
        <v>Екатериновское</v>
      </c>
      <c r="C6" s="12">
        <f>'Исходные данные'!C4</f>
        <v>5650</v>
      </c>
      <c r="D6" s="10">
        <f>'Исходные данные'!H4/'Исходные данные'!C4</f>
        <v>0</v>
      </c>
      <c r="E6" s="144">
        <f t="shared" si="0"/>
        <v>1</v>
      </c>
      <c r="F6" s="144">
        <f t="shared" si="1"/>
        <v>0.962</v>
      </c>
      <c r="G6" s="145">
        <f>' районный коэффициент'!O7</f>
        <v>1.625</v>
      </c>
      <c r="H6" s="145">
        <f>' районный коэффициент'!Q7</f>
        <v>0</v>
      </c>
      <c r="I6" s="145">
        <f>' районный коэффициент'!P7</f>
        <v>0.25</v>
      </c>
      <c r="J6" s="11">
        <f>' районный коэффициент'!R7</f>
        <v>0</v>
      </c>
      <c r="K6" s="11">
        <f t="shared" si="2"/>
        <v>1.804</v>
      </c>
      <c r="L6" s="10">
        <f t="shared" si="3"/>
        <v>10192.6</v>
      </c>
      <c r="M6" s="146">
        <f t="shared" si="4"/>
        <v>0.96</v>
      </c>
      <c r="N6" s="147">
        <f>'тарифы(коэф. КУ)'!K5</f>
        <v>0.998</v>
      </c>
      <c r="O6" s="13">
        <f>('Исходные данные'!F4+'Исходные данные'!G4)/'Исходные данные'!C4</f>
        <v>0.4876</v>
      </c>
      <c r="P6" s="13">
        <f t="shared" si="5"/>
        <v>1.1972</v>
      </c>
      <c r="Q6" s="13">
        <f t="shared" si="6"/>
        <v>1.382</v>
      </c>
      <c r="R6" s="148">
        <f t="shared" si="7"/>
        <v>7808.3</v>
      </c>
      <c r="S6" s="149">
        <f t="shared" si="8"/>
        <v>1.152</v>
      </c>
      <c r="T6" s="149"/>
      <c r="U6" s="150">
        <f t="shared" si="9"/>
        <v>0.9753</v>
      </c>
    </row>
    <row r="7" spans="1:21" ht="12.75">
      <c r="A7" s="3">
        <v>3</v>
      </c>
      <c r="B7" s="53" t="str">
        <f>'Исходные данные'!B5</f>
        <v>Золотодолинское</v>
      </c>
      <c r="C7" s="12">
        <f>'Исходные данные'!C5</f>
        <v>3199</v>
      </c>
      <c r="D7" s="10">
        <f>'Исходные данные'!H5/'Исходные данные'!C5</f>
        <v>0</v>
      </c>
      <c r="E7" s="144">
        <f t="shared" si="0"/>
        <v>1</v>
      </c>
      <c r="F7" s="144">
        <f t="shared" si="1"/>
        <v>0.962</v>
      </c>
      <c r="G7" s="145">
        <f>' районный коэффициент'!O8</f>
        <v>1.625</v>
      </c>
      <c r="H7" s="145">
        <f>' районный коэффициент'!Q8</f>
        <v>0</v>
      </c>
      <c r="I7" s="145">
        <f>' районный коэффициент'!P8</f>
        <v>0.25</v>
      </c>
      <c r="J7" s="11">
        <f>' районный коэффициент'!R8</f>
        <v>0</v>
      </c>
      <c r="K7" s="11">
        <f t="shared" si="2"/>
        <v>1.804</v>
      </c>
      <c r="L7" s="10">
        <f t="shared" si="3"/>
        <v>5771</v>
      </c>
      <c r="M7" s="146">
        <f t="shared" si="4"/>
        <v>0.96</v>
      </c>
      <c r="N7" s="147">
        <f>'тарифы(коэф. КУ)'!K6</f>
        <v>0.993</v>
      </c>
      <c r="O7" s="13">
        <f>('Исходные данные'!F5+'Исходные данные'!G5)/'Исходные данные'!C5</f>
        <v>0.4011</v>
      </c>
      <c r="P7" s="13">
        <f t="shared" si="5"/>
        <v>0.9848</v>
      </c>
      <c r="Q7" s="13">
        <f t="shared" si="6"/>
        <v>1.1369</v>
      </c>
      <c r="R7" s="148">
        <f t="shared" si="7"/>
        <v>3636.943</v>
      </c>
      <c r="S7" s="149">
        <f t="shared" si="8"/>
        <v>0.9477</v>
      </c>
      <c r="T7" s="149"/>
      <c r="U7" s="150">
        <f t="shared" si="9"/>
        <v>0.9643</v>
      </c>
    </row>
    <row r="8" spans="1:21" ht="12.75">
      <c r="A8" s="3">
        <v>4</v>
      </c>
      <c r="B8" s="53" t="str">
        <f>'Исходные данные'!B6</f>
        <v>Новицкое</v>
      </c>
      <c r="C8" s="12">
        <f>'Исходные данные'!C6</f>
        <v>5404</v>
      </c>
      <c r="D8" s="10">
        <f>'Исходные данные'!H6/'Исходные данные'!C6</f>
        <v>0</v>
      </c>
      <c r="E8" s="144">
        <f t="shared" si="0"/>
        <v>1</v>
      </c>
      <c r="F8" s="144">
        <f t="shared" si="1"/>
        <v>0.962</v>
      </c>
      <c r="G8" s="145">
        <f>' районный коэффициент'!O9</f>
        <v>1.625</v>
      </c>
      <c r="H8" s="145">
        <f>' районный коэффициент'!Q9</f>
        <v>0</v>
      </c>
      <c r="I8" s="145">
        <f>' районный коэффициент'!P9</f>
        <v>0.25</v>
      </c>
      <c r="J8" s="11">
        <f>' районный коэффициент'!R9</f>
        <v>0</v>
      </c>
      <c r="K8" s="11">
        <f t="shared" si="2"/>
        <v>1.804</v>
      </c>
      <c r="L8" s="10">
        <f t="shared" si="3"/>
        <v>9748.82</v>
      </c>
      <c r="M8" s="146">
        <f t="shared" si="4"/>
        <v>0.96</v>
      </c>
      <c r="N8" s="147">
        <f>'тарифы(коэф. КУ)'!K7</f>
        <v>1</v>
      </c>
      <c r="O8" s="13">
        <f>('Исходные данные'!F6+'Исходные данные'!G6)/'Исходные данные'!C6</f>
        <v>0.421</v>
      </c>
      <c r="P8" s="13">
        <f t="shared" si="5"/>
        <v>1.0336</v>
      </c>
      <c r="Q8" s="13">
        <f t="shared" si="6"/>
        <v>1.1932</v>
      </c>
      <c r="R8" s="148">
        <f t="shared" si="7"/>
        <v>6448.053</v>
      </c>
      <c r="S8" s="149">
        <f t="shared" si="8"/>
        <v>0.9946</v>
      </c>
      <c r="T8" s="149"/>
      <c r="U8" s="150">
        <f t="shared" si="9"/>
        <v>0.9677</v>
      </c>
    </row>
    <row r="9" spans="1:21" ht="12.75">
      <c r="A9" s="3">
        <v>5</v>
      </c>
      <c r="B9" s="53" t="str">
        <f>'Исходные данные'!B7</f>
        <v>Сергеевское</v>
      </c>
      <c r="C9" s="12">
        <f>'Исходные данные'!C7</f>
        <v>3746</v>
      </c>
      <c r="D9" s="10">
        <f>'Исходные данные'!H7/'Исходные данные'!C7</f>
        <v>0.22</v>
      </c>
      <c r="E9" s="144">
        <f t="shared" si="0"/>
        <v>1.22</v>
      </c>
      <c r="F9" s="144">
        <f t="shared" si="1"/>
        <v>1.173</v>
      </c>
      <c r="G9" s="145">
        <f>' районный коэффициент'!O10</f>
        <v>1.625</v>
      </c>
      <c r="H9" s="145">
        <f>' районный коэффициент'!Q10</f>
        <v>0</v>
      </c>
      <c r="I9" s="145">
        <f>' районный коэффициент'!P10</f>
        <v>0.25</v>
      </c>
      <c r="J9" s="11">
        <f>' районный коэффициент'!R10</f>
        <v>0</v>
      </c>
      <c r="K9" s="11">
        <f>(J9+I9+H9+G9)*F9</f>
        <v>2.199</v>
      </c>
      <c r="L9" s="10">
        <f t="shared" si="3"/>
        <v>8237.45</v>
      </c>
      <c r="M9" s="146">
        <f t="shared" si="4"/>
        <v>1.18</v>
      </c>
      <c r="N9" s="147">
        <f>'тарифы(коэф. КУ)'!K8</f>
        <v>1</v>
      </c>
      <c r="O9" s="13">
        <f>('Исходные данные'!F7+'Исходные данные'!G7)/'Исходные данные'!C7</f>
        <v>0.5259</v>
      </c>
      <c r="P9" s="13">
        <f t="shared" si="5"/>
        <v>1.2912</v>
      </c>
      <c r="Q9" s="13">
        <f>P9*F9*1.2</f>
        <v>1.8175</v>
      </c>
      <c r="R9" s="148">
        <f t="shared" si="7"/>
        <v>6808.355</v>
      </c>
      <c r="S9" s="149">
        <f t="shared" si="8"/>
        <v>1.515</v>
      </c>
      <c r="T9" s="149"/>
      <c r="U9" s="150">
        <f t="shared" si="9"/>
        <v>1.1698</v>
      </c>
    </row>
    <row r="10" spans="1:21" ht="12.75">
      <c r="A10" s="3">
        <v>6</v>
      </c>
      <c r="B10" s="53" t="str">
        <f>'Исходные данные'!B8</f>
        <v>Новолитовское</v>
      </c>
      <c r="C10" s="12">
        <f>'Исходные данные'!C8</f>
        <v>5326</v>
      </c>
      <c r="D10" s="10">
        <f>'Исходные данные'!H8/'Исходные данные'!C8</f>
        <v>0.04</v>
      </c>
      <c r="E10" s="144">
        <f t="shared" si="0"/>
        <v>1.04</v>
      </c>
      <c r="F10" s="144">
        <f t="shared" si="1"/>
        <v>1</v>
      </c>
      <c r="G10" s="145">
        <f>' районный коэффициент'!O11</f>
        <v>1.625</v>
      </c>
      <c r="H10" s="145">
        <f>' районный коэффициент'!Q11</f>
        <v>0</v>
      </c>
      <c r="I10" s="145">
        <f>' районный коэффициент'!P11</f>
        <v>0.25</v>
      </c>
      <c r="J10" s="11">
        <f>' районный коэффициент'!R11</f>
        <v>0</v>
      </c>
      <c r="K10" s="11">
        <f t="shared" si="2"/>
        <v>1.875</v>
      </c>
      <c r="L10" s="10">
        <f t="shared" si="3"/>
        <v>9986.25</v>
      </c>
      <c r="M10" s="146">
        <f t="shared" si="4"/>
        <v>1</v>
      </c>
      <c r="N10" s="147">
        <f>'тарифы(коэф. КУ)'!K9</f>
        <v>1.001</v>
      </c>
      <c r="O10" s="13">
        <f>('Исходные данные'!F8+'Исходные данные'!G8)/'Исходные данные'!C8</f>
        <v>0.1881</v>
      </c>
      <c r="P10" s="13">
        <f t="shared" si="5"/>
        <v>0.4618</v>
      </c>
      <c r="Q10" s="13">
        <f t="shared" si="6"/>
        <v>0.5542</v>
      </c>
      <c r="R10" s="148">
        <f t="shared" si="7"/>
        <v>2951.669</v>
      </c>
      <c r="S10" s="149">
        <f t="shared" si="8"/>
        <v>0.4619</v>
      </c>
      <c r="T10" s="149"/>
      <c r="U10" s="150">
        <f t="shared" si="9"/>
        <v>0.9732</v>
      </c>
    </row>
    <row r="11" spans="2:21" s="14" customFormat="1" ht="12.75">
      <c r="B11" s="14" t="s">
        <v>73</v>
      </c>
      <c r="C11" s="151">
        <f>SUM(C5:C10)</f>
        <v>29554</v>
      </c>
      <c r="D11" s="10">
        <f>'Исходные данные'!H9/'Исходные данные'!C9</f>
        <v>0.04</v>
      </c>
      <c r="E11" s="152">
        <f t="shared" si="0"/>
        <v>1.04</v>
      </c>
      <c r="F11" s="152">
        <f t="shared" si="1"/>
        <v>1</v>
      </c>
      <c r="G11" s="153">
        <f>' районный коэффициент'!$O$12</f>
        <v>1.625</v>
      </c>
      <c r="H11" s="153">
        <f>' районный коэффициент'!$Q$12</f>
        <v>0</v>
      </c>
      <c r="I11" s="153">
        <f>' районный коэффициент'!$P$12</f>
        <v>0.25</v>
      </c>
      <c r="J11" s="154">
        <f>' районный коэффициент'!R12</f>
        <v>0</v>
      </c>
      <c r="K11" s="154">
        <f t="shared" si="2"/>
        <v>1.875</v>
      </c>
      <c r="L11" s="155">
        <f>SUM(L5:L10)/C11</f>
        <v>1.87</v>
      </c>
      <c r="M11" s="155"/>
      <c r="N11" s="154"/>
      <c r="O11" s="13">
        <f>('Исходные данные'!F9+'Исходные данные'!G9)/'Исходные данные'!C9</f>
        <v>0.4073</v>
      </c>
      <c r="P11" s="156">
        <f t="shared" si="5"/>
        <v>1</v>
      </c>
      <c r="Q11" s="13">
        <f t="shared" si="6"/>
        <v>1.2</v>
      </c>
      <c r="R11" s="157">
        <f>SUM(R5:R10)/C11</f>
        <v>1.1997</v>
      </c>
      <c r="S11" s="156"/>
      <c r="T11" s="157"/>
      <c r="U11" s="150">
        <v>1</v>
      </c>
    </row>
    <row r="12" spans="4:13" ht="12.75">
      <c r="D12" s="4">
        <v>0</v>
      </c>
      <c r="K12" s="11">
        <f t="shared" si="2"/>
        <v>0</v>
      </c>
      <c r="L12" s="11"/>
      <c r="M12" s="11"/>
    </row>
  </sheetData>
  <sheetProtection/>
  <mergeCells count="8">
    <mergeCell ref="A1:A2"/>
    <mergeCell ref="Q2:R2"/>
    <mergeCell ref="O1:S1"/>
    <mergeCell ref="J1:M1"/>
    <mergeCell ref="B1:B2"/>
    <mergeCell ref="G1:I1"/>
    <mergeCell ref="C1:F1"/>
    <mergeCell ref="K2:L2"/>
  </mergeCells>
  <printOptions gridLines="1"/>
  <pageMargins left="0.1968503937007874" right="0.1968503937007874" top="0.5118110236220472" bottom="0.2362204724409449" header="0.11811023622047245" footer="0.11811023622047245"/>
  <pageSetup firstPageNumber="123" useFirstPageNumber="1" fitToWidth="7" horizontalDpi="300" verticalDpi="300" orientation="landscape" paperSize="9" scale="77" r:id="rId1"/>
  <headerFooter alignWithMargins="0">
    <oddHeader xml:space="preserve">&amp;CСводные данные и результаты расчета индекса бюджетных расходов муниципальных образований Яковлевского муниципального района на 2012 год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1"/>
  <sheetViews>
    <sheetView showZeros="0" zoomScalePageLayoutView="0" workbookViewId="0" topLeftCell="A1">
      <selection activeCell="C4" sqref="C4"/>
    </sheetView>
  </sheetViews>
  <sheetFormatPr defaultColWidth="9.33203125" defaultRowHeight="12.75"/>
  <cols>
    <col min="1" max="1" width="4.33203125" style="0" customWidth="1"/>
    <col min="2" max="2" width="31.16015625" style="0" customWidth="1"/>
    <col min="3" max="3" width="14.83203125" style="0" customWidth="1"/>
    <col min="4" max="4" width="14.5" style="0" customWidth="1"/>
    <col min="5" max="5" width="12.33203125" style="0" customWidth="1"/>
    <col min="6" max="6" width="12.16015625" style="0" customWidth="1"/>
    <col min="7" max="7" width="11.66015625" style="0" customWidth="1"/>
  </cols>
  <sheetData>
    <row r="3" spans="1:11" ht="51">
      <c r="A3" s="195" t="s">
        <v>85</v>
      </c>
      <c r="B3" s="190" t="s">
        <v>131</v>
      </c>
      <c r="C3" s="191" t="s">
        <v>134</v>
      </c>
      <c r="D3" s="237" t="s">
        <v>133</v>
      </c>
      <c r="E3" s="192" t="s">
        <v>67</v>
      </c>
      <c r="F3" s="192" t="s">
        <v>63</v>
      </c>
      <c r="G3" s="52"/>
      <c r="H3" s="52"/>
      <c r="I3" s="52"/>
      <c r="J3" s="52"/>
      <c r="K3" s="52"/>
    </row>
    <row r="4" spans="1:6" ht="12.75">
      <c r="A4" s="196"/>
      <c r="B4" s="193"/>
      <c r="C4" s="194" t="str">
        <f>ИБР!C3</f>
        <v>1</v>
      </c>
      <c r="D4" s="194">
        <v>2</v>
      </c>
      <c r="E4" s="194">
        <v>3</v>
      </c>
      <c r="F4" s="194">
        <v>4</v>
      </c>
    </row>
    <row r="5" spans="1:7" ht="12.75">
      <c r="A5" s="189">
        <v>1</v>
      </c>
      <c r="B5" s="186" t="str">
        <f>'Исходные данные'!B3</f>
        <v>Вл.-Александровское</v>
      </c>
      <c r="C5" s="164">
        <f>ИБР!C5</f>
        <v>6229</v>
      </c>
      <c r="D5" s="164">
        <f>'Исходные данные'!I3</f>
        <v>8278</v>
      </c>
      <c r="E5" s="165">
        <f aca="true" t="shared" si="0" ref="E5:E11">D5/C5</f>
        <v>1.32895</v>
      </c>
      <c r="F5" s="166">
        <f aca="true" t="shared" si="1" ref="F5:F11">E5/$E$11</f>
        <v>1.5713</v>
      </c>
      <c r="G5" s="78"/>
    </row>
    <row r="6" spans="1:7" ht="12.75">
      <c r="A6" s="189">
        <v>2</v>
      </c>
      <c r="B6" s="186" t="str">
        <f>'Исходные данные'!B4</f>
        <v>Екатериновское</v>
      </c>
      <c r="C6" s="164">
        <f>ИБР!C6</f>
        <v>5650</v>
      </c>
      <c r="D6" s="164">
        <f>'Исходные данные'!I4</f>
        <v>3467</v>
      </c>
      <c r="E6" s="165">
        <f t="shared" si="0"/>
        <v>0.61363</v>
      </c>
      <c r="F6" s="166">
        <f t="shared" si="1"/>
        <v>0.7255</v>
      </c>
      <c r="G6" s="78"/>
    </row>
    <row r="7" spans="1:7" ht="12.75">
      <c r="A7" s="189">
        <v>3</v>
      </c>
      <c r="B7" s="186" t="str">
        <f>'Исходные данные'!B5</f>
        <v>Золотодолинское</v>
      </c>
      <c r="C7" s="164">
        <f>ИБР!C7</f>
        <v>3199</v>
      </c>
      <c r="D7" s="164">
        <f>'Исходные данные'!I5</f>
        <v>1630</v>
      </c>
      <c r="E7" s="165">
        <f t="shared" si="0"/>
        <v>0.50953</v>
      </c>
      <c r="F7" s="166">
        <f t="shared" si="1"/>
        <v>0.6024</v>
      </c>
      <c r="G7" s="78"/>
    </row>
    <row r="8" spans="1:7" ht="12.75">
      <c r="A8" s="189">
        <v>4</v>
      </c>
      <c r="B8" s="186" t="str">
        <f>'Исходные данные'!B6</f>
        <v>Новицкое</v>
      </c>
      <c r="C8" s="164">
        <f>ИБР!C8</f>
        <v>5404</v>
      </c>
      <c r="D8" s="164">
        <f>'Исходные данные'!I6</f>
        <v>4461</v>
      </c>
      <c r="E8" s="165">
        <f t="shared" si="0"/>
        <v>0.8255</v>
      </c>
      <c r="F8" s="166">
        <f t="shared" si="1"/>
        <v>0.976</v>
      </c>
      <c r="G8" s="78"/>
    </row>
    <row r="9" spans="1:7" ht="12.75">
      <c r="A9" s="189">
        <v>5</v>
      </c>
      <c r="B9" s="186" t="str">
        <f>'Исходные данные'!B7</f>
        <v>Сергеевское</v>
      </c>
      <c r="C9" s="164">
        <f>ИБР!C9</f>
        <v>3746</v>
      </c>
      <c r="D9" s="164">
        <f>'Исходные данные'!I7</f>
        <v>3026</v>
      </c>
      <c r="E9" s="165">
        <f>D9/C9</f>
        <v>0.80779</v>
      </c>
      <c r="F9" s="166">
        <f t="shared" si="1"/>
        <v>0.9551</v>
      </c>
      <c r="G9" s="78"/>
    </row>
    <row r="10" spans="1:7" ht="12.75">
      <c r="A10" s="189">
        <v>6</v>
      </c>
      <c r="B10" s="186" t="str">
        <f>'Исходные данные'!B8</f>
        <v>Новолитовское</v>
      </c>
      <c r="C10" s="164">
        <f>ИБР!C10</f>
        <v>5326</v>
      </c>
      <c r="D10" s="164">
        <f>'Исходные данные'!I8</f>
        <v>4134</v>
      </c>
      <c r="E10" s="165">
        <f t="shared" si="0"/>
        <v>0.77619</v>
      </c>
      <c r="F10" s="166">
        <f t="shared" si="1"/>
        <v>0.9177</v>
      </c>
      <c r="G10" s="78"/>
    </row>
    <row r="11" spans="1:7" s="69" customFormat="1" ht="12.75">
      <c r="A11" s="187"/>
      <c r="B11" s="188" t="str">
        <f>ИБР!B11</f>
        <v>Муниципальный район</v>
      </c>
      <c r="C11" s="167">
        <f>SUM(C5:C10)</f>
        <v>29554</v>
      </c>
      <c r="D11" s="167">
        <f>SUM(D5:D10)</f>
        <v>24996</v>
      </c>
      <c r="E11" s="168">
        <f t="shared" si="0"/>
        <v>0.84577</v>
      </c>
      <c r="F11" s="169">
        <f t="shared" si="1"/>
        <v>1</v>
      </c>
      <c r="G11" s="16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Zeros="0" view="pageBreakPreview" zoomScale="95" zoomScaleSheetLayoutView="95" zoomScalePageLayoutView="0" workbookViewId="0" topLeftCell="A1">
      <pane xSplit="2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3" sqref="I23"/>
    </sheetView>
  </sheetViews>
  <sheetFormatPr defaultColWidth="9.33203125" defaultRowHeight="12.75"/>
  <cols>
    <col min="1" max="1" width="4.83203125" style="4" customWidth="1"/>
    <col min="2" max="2" width="22" style="251" customWidth="1"/>
    <col min="3" max="3" width="13.33203125" style="251" customWidth="1"/>
    <col min="4" max="9" width="13.33203125" style="4" customWidth="1"/>
    <col min="10" max="10" width="13.33203125" style="14" customWidth="1"/>
    <col min="11" max="16" width="13.33203125" style="4" customWidth="1"/>
    <col min="17" max="17" width="18.83203125" style="4" customWidth="1"/>
    <col min="18" max="16384" width="9.33203125" style="4" customWidth="1"/>
  </cols>
  <sheetData>
    <row r="1" spans="1:16" ht="12.75" customHeight="1">
      <c r="A1" s="269" t="s">
        <v>85</v>
      </c>
      <c r="B1" s="275" t="str">
        <f>ИБР!$B$1</f>
        <v>Поселения Партизанского муниципального района </v>
      </c>
      <c r="C1" s="276" t="s">
        <v>122</v>
      </c>
      <c r="D1" s="274" t="s">
        <v>24</v>
      </c>
      <c r="E1" s="274" t="s">
        <v>25</v>
      </c>
      <c r="F1" s="274" t="s">
        <v>82</v>
      </c>
      <c r="G1" s="274" t="s">
        <v>26</v>
      </c>
      <c r="H1" s="274" t="s">
        <v>27</v>
      </c>
      <c r="I1" s="274" t="s">
        <v>66</v>
      </c>
      <c r="J1" s="274" t="s">
        <v>26</v>
      </c>
      <c r="K1" s="274" t="s">
        <v>28</v>
      </c>
      <c r="L1" s="278" t="s">
        <v>114</v>
      </c>
      <c r="M1" s="274" t="s">
        <v>83</v>
      </c>
      <c r="N1" s="277" t="s">
        <v>137</v>
      </c>
      <c r="O1" s="277" t="s">
        <v>139</v>
      </c>
      <c r="P1" s="277" t="s">
        <v>138</v>
      </c>
    </row>
    <row r="2" spans="1:16" ht="81.75" customHeight="1">
      <c r="A2" s="269"/>
      <c r="B2" s="275"/>
      <c r="C2" s="276"/>
      <c r="D2" s="274"/>
      <c r="E2" s="274"/>
      <c r="F2" s="274"/>
      <c r="G2" s="274"/>
      <c r="H2" s="274"/>
      <c r="I2" s="274"/>
      <c r="J2" s="274"/>
      <c r="K2" s="274"/>
      <c r="L2" s="278"/>
      <c r="M2" s="274"/>
      <c r="N2" s="277"/>
      <c r="O2" s="277"/>
      <c r="P2" s="277"/>
    </row>
    <row r="3" spans="2:13" s="7" customFormat="1" ht="27" customHeight="1" hidden="1">
      <c r="B3" s="275"/>
      <c r="C3" s="276"/>
      <c r="D3" s="274"/>
      <c r="E3" s="274"/>
      <c r="F3" s="274"/>
      <c r="G3" s="274"/>
      <c r="H3" s="274"/>
      <c r="I3" s="274"/>
      <c r="J3" s="274"/>
      <c r="K3" s="274"/>
      <c r="L3" s="278"/>
      <c r="M3" s="274"/>
    </row>
    <row r="4" spans="1:16" s="7" customFormat="1" ht="27" customHeight="1">
      <c r="A4" s="197"/>
      <c r="B4" s="252"/>
      <c r="C4" s="253" t="s">
        <v>18</v>
      </c>
      <c r="D4" s="16" t="s">
        <v>19</v>
      </c>
      <c r="E4" s="16" t="s">
        <v>29</v>
      </c>
      <c r="F4" s="16" t="s">
        <v>30</v>
      </c>
      <c r="G4" s="16" t="s">
        <v>31</v>
      </c>
      <c r="H4" s="16" t="s">
        <v>32</v>
      </c>
      <c r="I4" s="16"/>
      <c r="J4" s="16" t="s">
        <v>20</v>
      </c>
      <c r="K4" s="16" t="s">
        <v>21</v>
      </c>
      <c r="L4" s="17" t="s">
        <v>33</v>
      </c>
      <c r="M4" s="16" t="s">
        <v>22</v>
      </c>
      <c r="N4" s="197" t="s">
        <v>124</v>
      </c>
      <c r="O4" s="197" t="s">
        <v>106</v>
      </c>
      <c r="P4" s="197" t="s">
        <v>107</v>
      </c>
    </row>
    <row r="5" spans="2:13" s="7" customFormat="1" ht="13.5" customHeight="1">
      <c r="B5" s="254"/>
      <c r="C5" s="255"/>
      <c r="D5" s="19"/>
      <c r="E5" s="19"/>
      <c r="F5" s="18"/>
      <c r="G5" s="222">
        <f>'Основные параметры и коэффициен'!A21</f>
        <v>0.95</v>
      </c>
      <c r="H5" s="222">
        <f>'Основные параметры и коэффициен'!A23</f>
        <v>1</v>
      </c>
      <c r="I5" s="75"/>
      <c r="J5" s="228">
        <f>'Основные параметры и коэффициен'!A25</f>
        <v>1.7</v>
      </c>
      <c r="K5" s="223">
        <f>K6/J13</f>
        <v>1.011348465</v>
      </c>
      <c r="L5" s="20"/>
      <c r="M5" s="18"/>
    </row>
    <row r="6" spans="2:16" ht="13.5" customHeight="1">
      <c r="B6" s="256"/>
      <c r="C6" s="257"/>
      <c r="D6" s="22"/>
      <c r="E6" s="22"/>
      <c r="F6" s="21"/>
      <c r="G6" s="73">
        <f>ИНП!E11</f>
        <v>0.84577</v>
      </c>
      <c r="H6" s="24"/>
      <c r="I6" s="24"/>
      <c r="J6" s="24"/>
      <c r="K6" s="74">
        <f>'Основные параметры и коэффициен'!A4-'расчет финпомощи'!H13</f>
        <v>15150</v>
      </c>
      <c r="L6" s="23"/>
      <c r="M6" s="21"/>
      <c r="N6" s="264"/>
      <c r="O6" s="264"/>
      <c r="P6" s="264"/>
    </row>
    <row r="7" spans="1:17" ht="12.75">
      <c r="A7" s="189">
        <v>1</v>
      </c>
      <c r="B7" s="258" t="str">
        <f>'Исходные данные'!B3</f>
        <v>Вл.-Александровское</v>
      </c>
      <c r="C7" s="259">
        <f>'Исходные данные'!C3</f>
        <v>6229</v>
      </c>
      <c r="D7" s="70">
        <f>ИНП!F5</f>
        <v>1.5713</v>
      </c>
      <c r="E7" s="72">
        <f>ИБР!U5</f>
        <v>0.9705</v>
      </c>
      <c r="F7" s="10">
        <f aca="true" t="shared" si="0" ref="F7:F13">IF(E7&gt;0,D7/E7,0)</f>
        <v>1.62</v>
      </c>
      <c r="G7" s="12">
        <f aca="true" t="shared" si="1" ref="G7:G12">IF(F7&lt;G$5,G$6*(G$5-F7)*E7*C7,0)</f>
        <v>0</v>
      </c>
      <c r="H7" s="12">
        <f aca="true" t="shared" si="2" ref="H7:H12">G7*H$5</f>
        <v>0</v>
      </c>
      <c r="I7" s="10">
        <f aca="true" t="shared" si="3" ref="I7:I12">IF(C7&gt;0,F7+H7/C7/E7/$G$6,0)</f>
        <v>1.62</v>
      </c>
      <c r="J7" s="12">
        <f aca="true" t="shared" si="4" ref="J7:J12">IF(AND(F7&lt;J$5,C7&gt;0),G$6*(J$5-(H7/(E7*C7*G$6)+F7))*E7*C7,0)</f>
        <v>409</v>
      </c>
      <c r="K7" s="12">
        <f aca="true" t="shared" si="5" ref="K7:K12">J7*K$5</f>
        <v>414</v>
      </c>
      <c r="L7" s="12">
        <f aca="true" t="shared" si="6" ref="L7:L12">K7+H7</f>
        <v>414</v>
      </c>
      <c r="M7" s="10">
        <f aca="true" t="shared" si="7" ref="M7:M13">IF(C7&gt;0,F7+L7/C7/E7/G$6,0)</f>
        <v>1.7</v>
      </c>
      <c r="N7" s="240">
        <v>613</v>
      </c>
      <c r="O7" s="240">
        <v>199</v>
      </c>
      <c r="P7" s="240">
        <f aca="true" t="shared" si="8" ref="P7:P13">SUM(L7,O7)</f>
        <v>613</v>
      </c>
      <c r="Q7" s="268"/>
    </row>
    <row r="8" spans="1:17" ht="12.75">
      <c r="A8" s="189">
        <v>2</v>
      </c>
      <c r="B8" s="260" t="str">
        <f>'Исходные данные'!B4</f>
        <v>Екатериновское</v>
      </c>
      <c r="C8" s="259">
        <f>'Исходные данные'!C4</f>
        <v>5650</v>
      </c>
      <c r="D8" s="70">
        <f>ИНП!F6</f>
        <v>0.7255</v>
      </c>
      <c r="E8" s="72">
        <f>ИБР!U6</f>
        <v>0.9753</v>
      </c>
      <c r="F8" s="10">
        <f t="shared" si="0"/>
        <v>0.74</v>
      </c>
      <c r="G8" s="12">
        <f t="shared" si="1"/>
        <v>979</v>
      </c>
      <c r="H8" s="12">
        <f t="shared" si="2"/>
        <v>979</v>
      </c>
      <c r="I8" s="10">
        <f t="shared" si="3"/>
        <v>0.95</v>
      </c>
      <c r="J8" s="12">
        <f t="shared" si="4"/>
        <v>3495</v>
      </c>
      <c r="K8" s="12">
        <f t="shared" si="5"/>
        <v>3535</v>
      </c>
      <c r="L8" s="12">
        <f t="shared" si="6"/>
        <v>4514</v>
      </c>
      <c r="M8" s="10">
        <f t="shared" si="7"/>
        <v>1.71</v>
      </c>
      <c r="N8" s="240">
        <v>4297</v>
      </c>
      <c r="O8" s="240"/>
      <c r="P8" s="240">
        <f t="shared" si="8"/>
        <v>4514</v>
      </c>
      <c r="Q8" s="268"/>
    </row>
    <row r="9" spans="1:17" ht="12.75">
      <c r="A9" s="189">
        <v>3</v>
      </c>
      <c r="B9" s="260" t="str">
        <f>'Исходные данные'!B5</f>
        <v>Золотодолинское</v>
      </c>
      <c r="C9" s="259">
        <f>'Исходные данные'!C5</f>
        <v>3199</v>
      </c>
      <c r="D9" s="70">
        <f>ИНП!F7</f>
        <v>0.6024</v>
      </c>
      <c r="E9" s="72">
        <f>ИБР!U7</f>
        <v>0.9643</v>
      </c>
      <c r="F9" s="10">
        <f t="shared" si="0"/>
        <v>0.62</v>
      </c>
      <c r="G9" s="12">
        <f t="shared" si="1"/>
        <v>861</v>
      </c>
      <c r="H9" s="12">
        <f t="shared" si="2"/>
        <v>861</v>
      </c>
      <c r="I9" s="10">
        <f t="shared" si="3"/>
        <v>0.95</v>
      </c>
      <c r="J9" s="12">
        <f t="shared" si="4"/>
        <v>1957</v>
      </c>
      <c r="K9" s="12">
        <f t="shared" si="5"/>
        <v>1979</v>
      </c>
      <c r="L9" s="12">
        <f t="shared" si="6"/>
        <v>2840</v>
      </c>
      <c r="M9" s="10">
        <f t="shared" si="7"/>
        <v>1.71</v>
      </c>
      <c r="N9" s="240">
        <v>4327</v>
      </c>
      <c r="O9" s="240">
        <v>1487</v>
      </c>
      <c r="P9" s="240">
        <f t="shared" si="8"/>
        <v>4327</v>
      </c>
      <c r="Q9" s="268"/>
    </row>
    <row r="10" spans="1:17" ht="12.75">
      <c r="A10" s="189">
        <v>4</v>
      </c>
      <c r="B10" s="260" t="str">
        <f>'Исходные данные'!B6</f>
        <v>Новицкое</v>
      </c>
      <c r="C10" s="259">
        <f>'Исходные данные'!C6</f>
        <v>5404</v>
      </c>
      <c r="D10" s="70">
        <f>ИНП!F8</f>
        <v>0.976</v>
      </c>
      <c r="E10" s="72">
        <f>ИБР!U8</f>
        <v>0.9677</v>
      </c>
      <c r="F10" s="10">
        <f t="shared" si="0"/>
        <v>1.01</v>
      </c>
      <c r="G10" s="12">
        <f t="shared" si="1"/>
        <v>0</v>
      </c>
      <c r="H10" s="12">
        <f t="shared" si="2"/>
        <v>0</v>
      </c>
      <c r="I10" s="10">
        <f t="shared" si="3"/>
        <v>1.01</v>
      </c>
      <c r="J10" s="12">
        <f t="shared" si="4"/>
        <v>3052</v>
      </c>
      <c r="K10" s="12">
        <f t="shared" si="5"/>
        <v>3087</v>
      </c>
      <c r="L10" s="12">
        <f t="shared" si="6"/>
        <v>3087</v>
      </c>
      <c r="M10" s="10">
        <f t="shared" si="7"/>
        <v>1.71</v>
      </c>
      <c r="N10" s="240">
        <v>3004</v>
      </c>
      <c r="O10" s="240"/>
      <c r="P10" s="240">
        <f t="shared" si="8"/>
        <v>3087</v>
      </c>
      <c r="Q10" s="268"/>
    </row>
    <row r="11" spans="1:17" ht="12.75">
      <c r="A11" s="189">
        <v>5</v>
      </c>
      <c r="B11" s="260" t="str">
        <f>'Исходные данные'!B7</f>
        <v>Сергеевское</v>
      </c>
      <c r="C11" s="259">
        <f>'Исходные данные'!C7</f>
        <v>3746</v>
      </c>
      <c r="D11" s="70">
        <f>ИНП!F9</f>
        <v>0.9551</v>
      </c>
      <c r="E11" s="72">
        <f>ИБР!U9</f>
        <v>1.1698</v>
      </c>
      <c r="F11" s="10">
        <f>IF(E11&gt;0,D11/E11,0)</f>
        <v>0.82</v>
      </c>
      <c r="G11" s="12">
        <f t="shared" si="1"/>
        <v>482</v>
      </c>
      <c r="H11" s="12">
        <f t="shared" si="2"/>
        <v>482</v>
      </c>
      <c r="I11" s="10">
        <f t="shared" si="3"/>
        <v>0.95</v>
      </c>
      <c r="J11" s="12">
        <f t="shared" si="4"/>
        <v>2779</v>
      </c>
      <c r="K11" s="12">
        <f t="shared" si="5"/>
        <v>2811</v>
      </c>
      <c r="L11" s="12">
        <f t="shared" si="6"/>
        <v>3293</v>
      </c>
      <c r="M11" s="10">
        <f>IF(C11&gt;0,F11+L11/C11/E11/G$6,0)</f>
        <v>1.71</v>
      </c>
      <c r="N11" s="240">
        <v>4563</v>
      </c>
      <c r="O11" s="240">
        <v>1270</v>
      </c>
      <c r="P11" s="240">
        <f>SUM(L11,O11)</f>
        <v>4563</v>
      </c>
      <c r="Q11" s="268"/>
    </row>
    <row r="12" spans="1:17" ht="12.75">
      <c r="A12" s="189">
        <v>6</v>
      </c>
      <c r="B12" s="260" t="str">
        <f>'Исходные данные'!B8</f>
        <v>Новолитовское</v>
      </c>
      <c r="C12" s="259">
        <f>'Исходные данные'!C8</f>
        <v>5326</v>
      </c>
      <c r="D12" s="70">
        <f>ИНП!F10</f>
        <v>0.9177</v>
      </c>
      <c r="E12" s="72">
        <f>ИБР!U10</f>
        <v>0.9732</v>
      </c>
      <c r="F12" s="10">
        <f t="shared" si="0"/>
        <v>0.94</v>
      </c>
      <c r="G12" s="12">
        <f t="shared" si="1"/>
        <v>44</v>
      </c>
      <c r="H12" s="12">
        <f t="shared" si="2"/>
        <v>44</v>
      </c>
      <c r="I12" s="10">
        <f t="shared" si="3"/>
        <v>0.95</v>
      </c>
      <c r="J12" s="12">
        <f t="shared" si="4"/>
        <v>3288</v>
      </c>
      <c r="K12" s="12">
        <f t="shared" si="5"/>
        <v>3325</v>
      </c>
      <c r="L12" s="12">
        <f t="shared" si="6"/>
        <v>3369</v>
      </c>
      <c r="M12" s="10">
        <f t="shared" si="7"/>
        <v>1.71</v>
      </c>
      <c r="N12" s="240">
        <v>4804</v>
      </c>
      <c r="O12" s="240">
        <v>1435</v>
      </c>
      <c r="P12" s="240">
        <f t="shared" si="8"/>
        <v>4804</v>
      </c>
      <c r="Q12" s="268"/>
    </row>
    <row r="13" spans="2:17" s="14" customFormat="1" ht="12.75">
      <c r="B13" s="261" t="s">
        <v>23</v>
      </c>
      <c r="C13" s="262">
        <f>SUM(C7:C12)</f>
        <v>29554</v>
      </c>
      <c r="D13" s="71">
        <f>ИНП!F11</f>
        <v>1</v>
      </c>
      <c r="E13" s="15">
        <f>ИБР!U11</f>
        <v>1</v>
      </c>
      <c r="F13" s="224">
        <f t="shared" si="0"/>
        <v>1</v>
      </c>
      <c r="G13" s="151">
        <f>SUM(G7:G12)</f>
        <v>2366</v>
      </c>
      <c r="H13" s="151">
        <f>SUM(H7:H12)</f>
        <v>2366</v>
      </c>
      <c r="I13" s="151"/>
      <c r="J13" s="151">
        <f>SUM(J7:J12)</f>
        <v>14980</v>
      </c>
      <c r="K13" s="151">
        <f>SUM(K7:K12)</f>
        <v>15151</v>
      </c>
      <c r="L13" s="151">
        <f>SUM(L7:L12)</f>
        <v>17517</v>
      </c>
      <c r="M13" s="224">
        <f t="shared" si="7"/>
        <v>1.7</v>
      </c>
      <c r="N13" s="248">
        <f>SUM(N7:N12)</f>
        <v>21608</v>
      </c>
      <c r="O13" s="241">
        <f>SUM(O7:O12)</f>
        <v>4391</v>
      </c>
      <c r="P13" s="263">
        <f t="shared" si="8"/>
        <v>21908</v>
      </c>
      <c r="Q13" s="268"/>
    </row>
  </sheetData>
  <sheetProtection/>
  <mergeCells count="16">
    <mergeCell ref="P1:P2"/>
    <mergeCell ref="L1:L3"/>
    <mergeCell ref="M1:M3"/>
    <mergeCell ref="I1:I3"/>
    <mergeCell ref="K1:K3"/>
    <mergeCell ref="N1:N2"/>
    <mergeCell ref="O1:O2"/>
    <mergeCell ref="A1:A2"/>
    <mergeCell ref="G1:G3"/>
    <mergeCell ref="H1:H3"/>
    <mergeCell ref="J1:J3"/>
    <mergeCell ref="F1:F3"/>
    <mergeCell ref="B1:B3"/>
    <mergeCell ref="C1:C3"/>
    <mergeCell ref="D1:D3"/>
    <mergeCell ref="E1:E3"/>
  </mergeCells>
  <printOptions gridLines="1"/>
  <pageMargins left="0.1968503937007874" right="0.1968503937007874" top="0.5118110236220472" bottom="0.2362204724409449" header="0.11811023622047245" footer="0.11811023622047245"/>
  <pageSetup firstPageNumber="123" useFirstPageNumber="1" fitToHeight="1" fitToWidth="1" horizontalDpi="300" verticalDpi="300" orientation="landscape" paperSize="9" scale="68" r:id="rId1"/>
  <headerFooter alignWithMargins="0">
    <oddHeader>&amp;CСтраница &amp;P&amp;RМетодика распределения РФФП на 2013 год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G12"/>
  <sheetViews>
    <sheetView showZeros="0" view="pageBreakPreview" zoomScaleSheetLayoutView="100" zoomScalePageLayoutView="0" workbookViewId="0" topLeftCell="A1">
      <selection activeCell="C5" sqref="C5"/>
    </sheetView>
  </sheetViews>
  <sheetFormatPr defaultColWidth="9.33203125" defaultRowHeight="12.75"/>
  <cols>
    <col min="1" max="1" width="5.66015625" style="0" customWidth="1"/>
    <col min="2" max="2" width="43.5" style="0" customWidth="1"/>
    <col min="3" max="3" width="14.66015625" style="0" customWidth="1"/>
    <col min="4" max="5" width="15.83203125" style="0" customWidth="1"/>
    <col min="6" max="7" width="14.16015625" style="0" customWidth="1"/>
  </cols>
  <sheetData>
    <row r="3" ht="13.5" thickBot="1"/>
    <row r="4" spans="1:7" ht="48.75" thickBot="1">
      <c r="A4" s="198" t="s">
        <v>85</v>
      </c>
      <c r="B4" s="249" t="str">
        <f>ИБР!B1</f>
        <v>Поселения Партизанского муниципального района </v>
      </c>
      <c r="C4" s="180" t="s">
        <v>134</v>
      </c>
      <c r="D4" s="66" t="s">
        <v>60</v>
      </c>
      <c r="E4" s="66" t="s">
        <v>115</v>
      </c>
      <c r="F4" s="67" t="s">
        <v>61</v>
      </c>
      <c r="G4" s="67" t="s">
        <v>62</v>
      </c>
    </row>
    <row r="5" spans="1:7" ht="12.75">
      <c r="A5" s="199"/>
      <c r="B5" s="68" t="str">
        <f>ИБР!B3</f>
        <v>№ столбца</v>
      </c>
      <c r="C5" s="68">
        <v>1</v>
      </c>
      <c r="D5" s="66" t="s">
        <v>19</v>
      </c>
      <c r="E5" s="66"/>
      <c r="F5" s="68">
        <v>3</v>
      </c>
      <c r="G5" s="68">
        <v>4</v>
      </c>
    </row>
    <row r="6" spans="1:7" ht="12.75">
      <c r="A6" s="189">
        <v>1</v>
      </c>
      <c r="B6" s="78" t="str">
        <f>'Исходные данные'!B3</f>
        <v>Вл.-Александровское</v>
      </c>
      <c r="C6" s="137">
        <f>ИБР!C5</f>
        <v>6229</v>
      </c>
      <c r="D6" s="138">
        <f>'Исходные данные'!J3</f>
        <v>1</v>
      </c>
      <c r="E6" s="138">
        <f aca="true" t="shared" si="0" ref="E6:E11">IF(D6=0,0,C6)</f>
        <v>6229</v>
      </c>
      <c r="F6" s="114">
        <f aca="true" t="shared" si="1" ref="F6:F12">IF(E6=0,0,D6/C6)</f>
        <v>0.0002</v>
      </c>
      <c r="G6" s="114">
        <f aca="true" t="shared" si="2" ref="G6:G12">F6/$F$12</f>
        <v>1</v>
      </c>
    </row>
    <row r="7" spans="1:7" ht="12.75">
      <c r="A7" s="189">
        <v>2</v>
      </c>
      <c r="B7" s="78" t="str">
        <f>'Исходные данные'!B4</f>
        <v>Екатериновское</v>
      </c>
      <c r="C7" s="137">
        <f>ИБР!C6</f>
        <v>5650</v>
      </c>
      <c r="D7" s="138">
        <f>'Исходные данные'!J4</f>
        <v>1</v>
      </c>
      <c r="E7" s="138">
        <f t="shared" si="0"/>
        <v>5650</v>
      </c>
      <c r="F7" s="114">
        <f t="shared" si="1"/>
        <v>0.0002</v>
      </c>
      <c r="G7" s="114">
        <f t="shared" si="2"/>
        <v>1</v>
      </c>
    </row>
    <row r="8" spans="1:7" ht="12.75">
      <c r="A8" s="189">
        <v>3</v>
      </c>
      <c r="B8" s="78" t="str">
        <f>'Исходные данные'!B5</f>
        <v>Золотодолинское</v>
      </c>
      <c r="C8" s="137">
        <f>ИБР!C7</f>
        <v>3199</v>
      </c>
      <c r="D8" s="138">
        <f>'Исходные данные'!J5</f>
        <v>1</v>
      </c>
      <c r="E8" s="138">
        <f t="shared" si="0"/>
        <v>3199</v>
      </c>
      <c r="F8" s="114">
        <f t="shared" si="1"/>
        <v>0.0003</v>
      </c>
      <c r="G8" s="114">
        <f t="shared" si="2"/>
        <v>1.5</v>
      </c>
    </row>
    <row r="9" spans="1:7" ht="12.75">
      <c r="A9" s="189">
        <v>4</v>
      </c>
      <c r="B9" s="78" t="str">
        <f>'Исходные данные'!B6</f>
        <v>Новицкое</v>
      </c>
      <c r="C9" s="137">
        <f>ИБР!C8</f>
        <v>5404</v>
      </c>
      <c r="D9" s="138">
        <f>'Исходные данные'!J6</f>
        <v>1</v>
      </c>
      <c r="E9" s="138">
        <f t="shared" si="0"/>
        <v>5404</v>
      </c>
      <c r="F9" s="114">
        <f t="shared" si="1"/>
        <v>0.0002</v>
      </c>
      <c r="G9" s="114">
        <f t="shared" si="2"/>
        <v>1</v>
      </c>
    </row>
    <row r="10" spans="1:7" ht="12.75">
      <c r="A10" s="189">
        <v>5</v>
      </c>
      <c r="B10" s="78" t="str">
        <f>'Исходные данные'!B7</f>
        <v>Сергеевское</v>
      </c>
      <c r="C10" s="137">
        <f>ИБР!C9</f>
        <v>3746</v>
      </c>
      <c r="D10" s="138">
        <f>'Исходные данные'!J7</f>
        <v>1</v>
      </c>
      <c r="E10" s="138">
        <f t="shared" si="0"/>
        <v>3746</v>
      </c>
      <c r="F10" s="114">
        <f>IF(E10=0,0,D10/C10)</f>
        <v>0.0003</v>
      </c>
      <c r="G10" s="114">
        <f t="shared" si="2"/>
        <v>1.5</v>
      </c>
    </row>
    <row r="11" spans="1:7" ht="12.75">
      <c r="A11" s="189">
        <v>6</v>
      </c>
      <c r="B11" s="78" t="str">
        <f>'Исходные данные'!B8</f>
        <v>Новолитовское</v>
      </c>
      <c r="C11" s="137">
        <f>ИБР!C10</f>
        <v>5326</v>
      </c>
      <c r="D11" s="138">
        <f>'Исходные данные'!J8</f>
        <v>1</v>
      </c>
      <c r="E11" s="138">
        <f t="shared" si="0"/>
        <v>5326</v>
      </c>
      <c r="F11" s="114">
        <f t="shared" si="1"/>
        <v>0.0002</v>
      </c>
      <c r="G11" s="114">
        <f t="shared" si="2"/>
        <v>1</v>
      </c>
    </row>
    <row r="12" spans="2:7" s="69" customFormat="1" ht="12.75">
      <c r="B12" s="115" t="str">
        <f>ИБР!B11</f>
        <v>Муниципальный район</v>
      </c>
      <c r="C12" s="116">
        <f>SUM(C6:C11)</f>
        <v>29554</v>
      </c>
      <c r="D12" s="170">
        <f>SUM(D6:D11)</f>
        <v>6</v>
      </c>
      <c r="E12" s="170">
        <f>SUM(E6:E11)</f>
        <v>29554</v>
      </c>
      <c r="F12" s="114">
        <f t="shared" si="1"/>
        <v>0.0002</v>
      </c>
      <c r="G12" s="171">
        <f t="shared" si="2"/>
        <v>1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showZero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"/>
    </sheetView>
  </sheetViews>
  <sheetFormatPr defaultColWidth="10.66015625" defaultRowHeight="12.75"/>
  <cols>
    <col min="1" max="1" width="33.66015625" style="51" customWidth="1"/>
    <col min="2" max="2" width="17.16015625" style="44" customWidth="1"/>
    <col min="3" max="3" width="14.83203125" style="44" customWidth="1"/>
    <col min="4" max="4" width="11.83203125" style="44" customWidth="1"/>
    <col min="5" max="5" width="13.16015625" style="44" customWidth="1"/>
    <col min="6" max="6" width="11.16015625" style="44" customWidth="1"/>
    <col min="7" max="7" width="13.33203125" style="44" customWidth="1"/>
    <col min="8" max="8" width="12.5" style="44" customWidth="1"/>
    <col min="9" max="9" width="11.66015625" style="44" customWidth="1"/>
    <col min="10" max="10" width="11.83203125" style="44" customWidth="1"/>
    <col min="11" max="11" width="16.83203125" style="44" customWidth="1"/>
    <col min="12" max="12" width="16.33203125" style="44" customWidth="1"/>
    <col min="13" max="13" width="14.83203125" style="44" customWidth="1"/>
    <col min="14" max="14" width="17.16015625" style="44" customWidth="1"/>
    <col min="15" max="15" width="15" style="44" customWidth="1"/>
    <col min="16" max="16" width="13.5" style="44" customWidth="1"/>
    <col min="17" max="18" width="16" style="44" customWidth="1"/>
    <col min="19" max="16384" width="10.66015625" style="45" customWidth="1"/>
  </cols>
  <sheetData>
    <row r="1" spans="1:18" s="27" customFormat="1" ht="13.5" customHeight="1" thickBot="1">
      <c r="A1" s="26"/>
      <c r="R1" s="208"/>
    </row>
    <row r="2" spans="1:18" s="31" customFormat="1" ht="48.75" thickBot="1">
      <c r="A2" s="28" t="s">
        <v>34</v>
      </c>
      <c r="B2" s="158" t="s">
        <v>134</v>
      </c>
      <c r="C2" s="158" t="s">
        <v>135</v>
      </c>
      <c r="D2" s="29" t="s">
        <v>35</v>
      </c>
      <c r="E2" s="29" t="s">
        <v>36</v>
      </c>
      <c r="F2" s="29" t="s">
        <v>37</v>
      </c>
      <c r="G2" s="279" t="s">
        <v>38</v>
      </c>
      <c r="H2" s="279"/>
      <c r="I2" s="279" t="s">
        <v>39</v>
      </c>
      <c r="J2" s="280"/>
      <c r="K2" s="279" t="s">
        <v>40</v>
      </c>
      <c r="L2" s="279"/>
      <c r="M2" s="279" t="s">
        <v>41</v>
      </c>
      <c r="N2" s="279"/>
      <c r="O2" s="30" t="s">
        <v>86</v>
      </c>
      <c r="P2" s="30" t="s">
        <v>87</v>
      </c>
      <c r="Q2" s="30" t="s">
        <v>88</v>
      </c>
      <c r="R2" s="207" t="s">
        <v>105</v>
      </c>
    </row>
    <row r="3" spans="1:18" s="31" customFormat="1" ht="10.5">
      <c r="A3" s="32">
        <v>1</v>
      </c>
      <c r="B3" s="33">
        <v>2</v>
      </c>
      <c r="C3" s="33">
        <v>3</v>
      </c>
      <c r="D3" s="33" t="s">
        <v>42</v>
      </c>
      <c r="E3" s="33">
        <v>5</v>
      </c>
      <c r="F3" s="33" t="s">
        <v>43</v>
      </c>
      <c r="G3" s="34" t="s">
        <v>50</v>
      </c>
      <c r="H3" s="34" t="s">
        <v>51</v>
      </c>
      <c r="I3" s="34" t="s">
        <v>52</v>
      </c>
      <c r="J3" s="35" t="s">
        <v>53</v>
      </c>
      <c r="K3" s="34" t="s">
        <v>54</v>
      </c>
      <c r="L3" s="34" t="s">
        <v>55</v>
      </c>
      <c r="M3" s="34" t="s">
        <v>56</v>
      </c>
      <c r="N3" s="34" t="s">
        <v>57</v>
      </c>
      <c r="O3" s="34" t="s">
        <v>44</v>
      </c>
      <c r="P3" s="34" t="s">
        <v>45</v>
      </c>
      <c r="Q3" s="34" t="s">
        <v>46</v>
      </c>
      <c r="R3" s="35">
        <v>19</v>
      </c>
    </row>
    <row r="4" spans="1:18" s="40" customFormat="1" ht="12.75">
      <c r="A4" s="36"/>
      <c r="B4" s="37"/>
      <c r="C4" s="37"/>
      <c r="D4" s="37"/>
      <c r="E4" s="37"/>
      <c r="F4" s="37"/>
      <c r="G4" s="38" t="s">
        <v>47</v>
      </c>
      <c r="H4" s="38" t="s">
        <v>48</v>
      </c>
      <c r="I4" s="38" t="s">
        <v>47</v>
      </c>
      <c r="J4" s="39" t="s">
        <v>49</v>
      </c>
      <c r="K4" s="38" t="s">
        <v>47</v>
      </c>
      <c r="L4" s="38" t="s">
        <v>48</v>
      </c>
      <c r="M4" s="38" t="s">
        <v>47</v>
      </c>
      <c r="N4" s="38" t="s">
        <v>49</v>
      </c>
      <c r="O4" s="38"/>
      <c r="P4" s="38"/>
      <c r="Q4" s="38"/>
      <c r="R4" s="39"/>
    </row>
    <row r="5" spans="1:18" ht="12.75">
      <c r="A5" s="41"/>
      <c r="B5" s="37"/>
      <c r="C5" s="37"/>
      <c r="D5" s="37"/>
      <c r="E5" s="42"/>
      <c r="F5" s="42"/>
      <c r="G5" s="200">
        <v>1.3</v>
      </c>
      <c r="H5" s="200">
        <v>0.2</v>
      </c>
      <c r="I5" s="200">
        <v>1.3</v>
      </c>
      <c r="J5" s="201">
        <v>0.5</v>
      </c>
      <c r="K5" s="200">
        <v>1.625</v>
      </c>
      <c r="L5" s="200">
        <v>0.25</v>
      </c>
      <c r="M5" s="200">
        <v>1.625</v>
      </c>
      <c r="N5" s="200">
        <v>0.625</v>
      </c>
      <c r="O5" s="43"/>
      <c r="P5" s="43"/>
      <c r="Q5" s="43"/>
      <c r="R5" s="79"/>
    </row>
    <row r="6" spans="1:18" ht="12.75">
      <c r="A6" s="46" t="str">
        <f>'Исходные данные'!B3</f>
        <v>Вл.-Александровское</v>
      </c>
      <c r="B6" s="54">
        <f>'Исходные данные'!C3</f>
        <v>6229</v>
      </c>
      <c r="C6" s="54">
        <f>'Исходные данные'!D3</f>
        <v>0</v>
      </c>
      <c r="D6" s="173">
        <f aca="true" t="shared" si="0" ref="D6:D12">(C6)/B6</f>
        <v>0</v>
      </c>
      <c r="E6" s="57">
        <f>'Исходные данные'!E3</f>
        <v>0</v>
      </c>
      <c r="F6" s="47">
        <f aca="true" t="shared" si="1" ref="F6:F12">E6/B6</f>
        <v>0</v>
      </c>
      <c r="G6" s="174">
        <f aca="true" t="shared" si="2" ref="G6:G12">$D6*(1-$F6)*$G$5</f>
        <v>0</v>
      </c>
      <c r="H6" s="174">
        <f aca="true" t="shared" si="3" ref="H6:H12">$D6*(1-$F6)*$H$5</f>
        <v>0</v>
      </c>
      <c r="I6" s="174">
        <f aca="true" t="shared" si="4" ref="I6:I12">$D6*$F6*$I$5</f>
        <v>0</v>
      </c>
      <c r="J6" s="175">
        <f aca="true" t="shared" si="5" ref="J6:J12">$D6*$F6*$J$5</f>
        <v>0</v>
      </c>
      <c r="K6" s="174">
        <f aca="true" t="shared" si="6" ref="K6:K12">(1-$D6)*(1-$F6)*$K$5</f>
        <v>1.625</v>
      </c>
      <c r="L6" s="174">
        <f aca="true" t="shared" si="7" ref="L6:L12">(1-$D6)*(1-$F6)*$L$5</f>
        <v>0.25</v>
      </c>
      <c r="M6" s="174">
        <f aca="true" t="shared" si="8" ref="M6:M12">(1-$D6)*$F6*$M$5</f>
        <v>0</v>
      </c>
      <c r="N6" s="174">
        <f aca="true" t="shared" si="9" ref="N6:N12">(1-$D6)*$F6*$N$5</f>
        <v>0</v>
      </c>
      <c r="O6" s="176">
        <f aca="true" t="shared" si="10" ref="O6:O12">G6+I6+K6+M6</f>
        <v>1.625</v>
      </c>
      <c r="P6" s="176">
        <f aca="true" t="shared" si="11" ref="P6:P12">H6+L6</f>
        <v>0.25</v>
      </c>
      <c r="Q6" s="176">
        <f aca="true" t="shared" si="12" ref="Q6:Q12">J6+N6</f>
        <v>0</v>
      </c>
      <c r="R6" s="202">
        <f aca="true" t="shared" si="13" ref="R6:R12">Q6</f>
        <v>0</v>
      </c>
    </row>
    <row r="7" spans="1:18" ht="12.75">
      <c r="A7" s="46" t="str">
        <f>'Исходные данные'!B4</f>
        <v>Екатериновское</v>
      </c>
      <c r="B7" s="54">
        <f>'Исходные данные'!C4</f>
        <v>5650</v>
      </c>
      <c r="C7" s="54">
        <f>'Исходные данные'!D4</f>
        <v>0</v>
      </c>
      <c r="D7" s="173">
        <f t="shared" si="0"/>
        <v>0</v>
      </c>
      <c r="E7" s="57">
        <f>'Исходные данные'!E4</f>
        <v>0</v>
      </c>
      <c r="F7" s="47">
        <f t="shared" si="1"/>
        <v>0</v>
      </c>
      <c r="G7" s="174">
        <f t="shared" si="2"/>
        <v>0</v>
      </c>
      <c r="H7" s="174">
        <f t="shared" si="3"/>
        <v>0</v>
      </c>
      <c r="I7" s="174">
        <f t="shared" si="4"/>
        <v>0</v>
      </c>
      <c r="J7" s="175">
        <f t="shared" si="5"/>
        <v>0</v>
      </c>
      <c r="K7" s="174">
        <f t="shared" si="6"/>
        <v>1.625</v>
      </c>
      <c r="L7" s="174">
        <f t="shared" si="7"/>
        <v>0.25</v>
      </c>
      <c r="M7" s="174">
        <f t="shared" si="8"/>
        <v>0</v>
      </c>
      <c r="N7" s="174">
        <f t="shared" si="9"/>
        <v>0</v>
      </c>
      <c r="O7" s="176">
        <f t="shared" si="10"/>
        <v>1.625</v>
      </c>
      <c r="P7" s="176">
        <f t="shared" si="11"/>
        <v>0.25</v>
      </c>
      <c r="Q7" s="176">
        <f t="shared" si="12"/>
        <v>0</v>
      </c>
      <c r="R7" s="202">
        <f t="shared" si="13"/>
        <v>0</v>
      </c>
    </row>
    <row r="8" spans="1:18" ht="12.75">
      <c r="A8" s="46" t="str">
        <f>'Исходные данные'!B5</f>
        <v>Золотодолинское</v>
      </c>
      <c r="B8" s="55">
        <f>'Исходные данные'!C5</f>
        <v>3199</v>
      </c>
      <c r="C8" s="55">
        <f>'Исходные данные'!D5</f>
        <v>0</v>
      </c>
      <c r="D8" s="173">
        <f t="shared" si="0"/>
        <v>0</v>
      </c>
      <c r="E8" s="57">
        <f>'Исходные данные'!E5</f>
        <v>0</v>
      </c>
      <c r="F8" s="47">
        <f t="shared" si="1"/>
        <v>0</v>
      </c>
      <c r="G8" s="174">
        <f t="shared" si="2"/>
        <v>0</v>
      </c>
      <c r="H8" s="174">
        <f t="shared" si="3"/>
        <v>0</v>
      </c>
      <c r="I8" s="174">
        <f t="shared" si="4"/>
        <v>0</v>
      </c>
      <c r="J8" s="175">
        <f t="shared" si="5"/>
        <v>0</v>
      </c>
      <c r="K8" s="174">
        <f t="shared" si="6"/>
        <v>1.625</v>
      </c>
      <c r="L8" s="174">
        <f t="shared" si="7"/>
        <v>0.25</v>
      </c>
      <c r="M8" s="174">
        <f t="shared" si="8"/>
        <v>0</v>
      </c>
      <c r="N8" s="174">
        <f t="shared" si="9"/>
        <v>0</v>
      </c>
      <c r="O8" s="176">
        <f t="shared" si="10"/>
        <v>1.625</v>
      </c>
      <c r="P8" s="176">
        <f t="shared" si="11"/>
        <v>0.25</v>
      </c>
      <c r="Q8" s="176">
        <f t="shared" si="12"/>
        <v>0</v>
      </c>
      <c r="R8" s="202">
        <f t="shared" si="13"/>
        <v>0</v>
      </c>
    </row>
    <row r="9" spans="1:18" ht="12.75">
      <c r="A9" s="46" t="str">
        <f>'Исходные данные'!B6</f>
        <v>Новицкое</v>
      </c>
      <c r="B9" s="55">
        <f>'Исходные данные'!C6</f>
        <v>5404</v>
      </c>
      <c r="C9" s="55">
        <f>'Исходные данные'!D6</f>
        <v>0</v>
      </c>
      <c r="D9" s="173">
        <f t="shared" si="0"/>
        <v>0</v>
      </c>
      <c r="E9" s="58">
        <f>'Исходные данные'!E6</f>
        <v>0</v>
      </c>
      <c r="F9" s="47">
        <f t="shared" si="1"/>
        <v>0</v>
      </c>
      <c r="G9" s="174">
        <f t="shared" si="2"/>
        <v>0</v>
      </c>
      <c r="H9" s="174">
        <f t="shared" si="3"/>
        <v>0</v>
      </c>
      <c r="I9" s="174">
        <f t="shared" si="4"/>
        <v>0</v>
      </c>
      <c r="J9" s="175">
        <f t="shared" si="5"/>
        <v>0</v>
      </c>
      <c r="K9" s="174">
        <f t="shared" si="6"/>
        <v>1.625</v>
      </c>
      <c r="L9" s="174">
        <f t="shared" si="7"/>
        <v>0.25</v>
      </c>
      <c r="M9" s="174">
        <f t="shared" si="8"/>
        <v>0</v>
      </c>
      <c r="N9" s="174">
        <f t="shared" si="9"/>
        <v>0</v>
      </c>
      <c r="O9" s="176">
        <f t="shared" si="10"/>
        <v>1.625</v>
      </c>
      <c r="P9" s="176">
        <f t="shared" si="11"/>
        <v>0.25</v>
      </c>
      <c r="Q9" s="176">
        <f t="shared" si="12"/>
        <v>0</v>
      </c>
      <c r="R9" s="202">
        <f t="shared" si="13"/>
        <v>0</v>
      </c>
    </row>
    <row r="10" spans="1:18" ht="12.75">
      <c r="A10" s="46" t="str">
        <f>'Исходные данные'!B7</f>
        <v>Сергеевское</v>
      </c>
      <c r="B10" s="55">
        <f>'Исходные данные'!C7</f>
        <v>3746</v>
      </c>
      <c r="C10" s="55">
        <f>'Исходные данные'!D7</f>
        <v>0</v>
      </c>
      <c r="D10" s="173">
        <f>(C10)/B10</f>
        <v>0</v>
      </c>
      <c r="E10" s="58">
        <f>'Исходные данные'!E7</f>
        <v>0</v>
      </c>
      <c r="F10" s="47">
        <f>E10/B10</f>
        <v>0</v>
      </c>
      <c r="G10" s="174">
        <f t="shared" si="2"/>
        <v>0</v>
      </c>
      <c r="H10" s="174">
        <f t="shared" si="3"/>
        <v>0</v>
      </c>
      <c r="I10" s="174">
        <f t="shared" si="4"/>
        <v>0</v>
      </c>
      <c r="J10" s="175">
        <f t="shared" si="5"/>
        <v>0</v>
      </c>
      <c r="K10" s="174">
        <f t="shared" si="6"/>
        <v>1.625</v>
      </c>
      <c r="L10" s="174">
        <f t="shared" si="7"/>
        <v>0.25</v>
      </c>
      <c r="M10" s="174">
        <f t="shared" si="8"/>
        <v>0</v>
      </c>
      <c r="N10" s="174">
        <f t="shared" si="9"/>
        <v>0</v>
      </c>
      <c r="O10" s="176">
        <f>G10+I10+K10+M10</f>
        <v>1.625</v>
      </c>
      <c r="P10" s="176">
        <f>H10+L10</f>
        <v>0.25</v>
      </c>
      <c r="Q10" s="176">
        <f>J10+N10</f>
        <v>0</v>
      </c>
      <c r="R10" s="202">
        <f t="shared" si="13"/>
        <v>0</v>
      </c>
    </row>
    <row r="11" spans="1:18" ht="12.75">
      <c r="A11" s="46" t="str">
        <f>'Исходные данные'!B8</f>
        <v>Новолитовское</v>
      </c>
      <c r="B11" s="55">
        <f>'Исходные данные'!C8</f>
        <v>5326</v>
      </c>
      <c r="C11" s="55">
        <f>'Исходные данные'!D8</f>
        <v>0</v>
      </c>
      <c r="D11" s="173">
        <f t="shared" si="0"/>
        <v>0</v>
      </c>
      <c r="E11" s="57">
        <f>'Исходные данные'!E8</f>
        <v>0</v>
      </c>
      <c r="F11" s="47">
        <f t="shared" si="1"/>
        <v>0</v>
      </c>
      <c r="G11" s="174">
        <f t="shared" si="2"/>
        <v>0</v>
      </c>
      <c r="H11" s="174">
        <f t="shared" si="3"/>
        <v>0</v>
      </c>
      <c r="I11" s="174">
        <f t="shared" si="4"/>
        <v>0</v>
      </c>
      <c r="J11" s="175">
        <f t="shared" si="5"/>
        <v>0</v>
      </c>
      <c r="K11" s="174">
        <f t="shared" si="6"/>
        <v>1.625</v>
      </c>
      <c r="L11" s="174">
        <f t="shared" si="7"/>
        <v>0.25</v>
      </c>
      <c r="M11" s="174">
        <f t="shared" si="8"/>
        <v>0</v>
      </c>
      <c r="N11" s="174">
        <f t="shared" si="9"/>
        <v>0</v>
      </c>
      <c r="O11" s="176">
        <f t="shared" si="10"/>
        <v>1.625</v>
      </c>
      <c r="P11" s="176">
        <f t="shared" si="11"/>
        <v>0.25</v>
      </c>
      <c r="Q11" s="176">
        <f t="shared" si="12"/>
        <v>0</v>
      </c>
      <c r="R11" s="202">
        <f t="shared" si="13"/>
        <v>0</v>
      </c>
    </row>
    <row r="12" spans="1:18" s="50" customFormat="1" ht="12.75">
      <c r="A12" s="48" t="str">
        <f>ИБР!B11</f>
        <v>Муниципальный район</v>
      </c>
      <c r="B12" s="177">
        <f>SUM(B6:B11)</f>
        <v>29554</v>
      </c>
      <c r="C12" s="56">
        <f>SUM(C6:C11)</f>
        <v>0</v>
      </c>
      <c r="D12" s="178">
        <f t="shared" si="0"/>
        <v>0</v>
      </c>
      <c r="E12" s="59">
        <f>SUM(E6:E11)</f>
        <v>0</v>
      </c>
      <c r="F12" s="49">
        <f t="shared" si="1"/>
        <v>0</v>
      </c>
      <c r="G12" s="174">
        <f t="shared" si="2"/>
        <v>0</v>
      </c>
      <c r="H12" s="174">
        <f t="shared" si="3"/>
        <v>0</v>
      </c>
      <c r="I12" s="174">
        <f t="shared" si="4"/>
        <v>0</v>
      </c>
      <c r="J12" s="175">
        <f t="shared" si="5"/>
        <v>0</v>
      </c>
      <c r="K12" s="174">
        <f t="shared" si="6"/>
        <v>1.625</v>
      </c>
      <c r="L12" s="174">
        <f t="shared" si="7"/>
        <v>0.25</v>
      </c>
      <c r="M12" s="174">
        <f t="shared" si="8"/>
        <v>0</v>
      </c>
      <c r="N12" s="174">
        <f t="shared" si="9"/>
        <v>0</v>
      </c>
      <c r="O12" s="179">
        <f t="shared" si="10"/>
        <v>1.625</v>
      </c>
      <c r="P12" s="179">
        <f t="shared" si="11"/>
        <v>0.25</v>
      </c>
      <c r="Q12" s="179">
        <f t="shared" si="12"/>
        <v>0</v>
      </c>
      <c r="R12" s="202">
        <f t="shared" si="13"/>
        <v>0</v>
      </c>
    </row>
  </sheetData>
  <sheetProtection/>
  <mergeCells count="4">
    <mergeCell ref="G2:H2"/>
    <mergeCell ref="I2:J2"/>
    <mergeCell ref="K2:L2"/>
    <mergeCell ref="M2:N2"/>
  </mergeCells>
  <printOptions gridLines="1"/>
  <pageMargins left="0.35433070866141736" right="0.15748031496062992" top="1.062992125984252" bottom="0.5118110236220472" header="0.2362204724409449" footer="0.5118110236220472"/>
  <pageSetup blackAndWhite="1" draft="1" horizontalDpi="600" verticalDpi="600" orientation="landscape" paperSize="9" scale="51" r:id="rId1"/>
  <headerFooter alignWithMargins="0">
    <oddHeader>&amp;CСредневзвешенные коэффициенты к заработной плате</oddHeader>
  </headerFooter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33203125" defaultRowHeight="12.75"/>
  <cols>
    <col min="1" max="1" width="42.5" style="4" customWidth="1"/>
    <col min="2" max="2" width="15.83203125" style="4" customWidth="1"/>
    <col min="3" max="3" width="16.66015625" style="4" customWidth="1"/>
    <col min="4" max="4" width="14.5" style="0" customWidth="1"/>
    <col min="5" max="5" width="16" style="0" customWidth="1"/>
    <col min="6" max="6" width="15.66015625" style="0" customWidth="1"/>
    <col min="7" max="7" width="16" style="0" customWidth="1"/>
    <col min="8" max="8" width="17" style="0" customWidth="1"/>
    <col min="9" max="9" width="14" style="0" customWidth="1"/>
    <col min="10" max="10" width="17" style="0" customWidth="1"/>
    <col min="11" max="11" width="14" style="0" customWidth="1"/>
    <col min="12" max="12" width="12.83203125" style="0" customWidth="1"/>
  </cols>
  <sheetData>
    <row r="1" spans="1:3" ht="12.75">
      <c r="A1" s="271" t="str">
        <f>ИБР!B1</f>
        <v>Поселения Партизанского муниципального района </v>
      </c>
      <c r="B1" s="60"/>
      <c r="C1" s="60"/>
    </row>
    <row r="2" spans="1:3" ht="13.5" thickBot="1">
      <c r="A2" s="271"/>
      <c r="B2" s="60"/>
      <c r="C2" s="60"/>
    </row>
    <row r="3" spans="1:14" ht="63.75">
      <c r="A3" s="7" t="str">
        <f>ИБР!B3</f>
        <v>№ столбца</v>
      </c>
      <c r="B3" s="242" t="s">
        <v>134</v>
      </c>
      <c r="C3" s="61" t="s">
        <v>89</v>
      </c>
      <c r="D3" s="52" t="s">
        <v>90</v>
      </c>
      <c r="E3" s="52" t="s">
        <v>91</v>
      </c>
      <c r="F3" s="52" t="s">
        <v>92</v>
      </c>
      <c r="G3" s="52" t="s">
        <v>58</v>
      </c>
      <c r="H3" s="52" t="s">
        <v>93</v>
      </c>
      <c r="I3" s="52" t="s">
        <v>94</v>
      </c>
      <c r="J3" s="52" t="s">
        <v>95</v>
      </c>
      <c r="K3" s="52" t="s">
        <v>59</v>
      </c>
      <c r="L3" s="62"/>
      <c r="M3" s="62"/>
      <c r="N3" s="62"/>
    </row>
    <row r="4" spans="1:11" ht="12.75">
      <c r="A4" s="25" t="str">
        <f>'Исходные данные'!B3</f>
        <v>Вл.-Александровское</v>
      </c>
      <c r="B4" s="250">
        <v>6229</v>
      </c>
      <c r="C4" s="243">
        <f>SUM(C5)</f>
        <v>5.77</v>
      </c>
      <c r="D4" s="244">
        <f>'Исходные данные'!L3</f>
        <v>2656.1</v>
      </c>
      <c r="E4" s="244">
        <f>'Исходные данные'!M3</f>
        <v>54.72</v>
      </c>
      <c r="F4" s="244">
        <f>'Исходные данные'!N3</f>
        <v>19.09</v>
      </c>
      <c r="G4" s="244">
        <f aca="true" t="shared" si="0" ref="G4:G10">E4+F4</f>
        <v>73.81</v>
      </c>
      <c r="H4" s="244">
        <f aca="true" t="shared" si="1" ref="H4:H10">C4/$C$10</f>
        <v>1</v>
      </c>
      <c r="I4" s="244">
        <f aca="true" t="shared" si="2" ref="I4:I10">D4/$D$10</f>
        <v>1.02</v>
      </c>
      <c r="J4" s="244">
        <f aca="true" t="shared" si="3" ref="J4:J10">G4/$G$10</f>
        <v>1.04</v>
      </c>
      <c r="K4" s="245">
        <f aca="true" t="shared" si="4" ref="K4:K10">0.9+0.1*(0.2*H4+0.6*I4+0.2*J4)</f>
        <v>1.002</v>
      </c>
    </row>
    <row r="5" spans="1:11" ht="12.75">
      <c r="A5" s="25" t="str">
        <f>'Исходные данные'!B4</f>
        <v>Екатериновское</v>
      </c>
      <c r="B5" s="250">
        <v>5650</v>
      </c>
      <c r="C5" s="243">
        <f>'Исходные данные'!K4</f>
        <v>5.77</v>
      </c>
      <c r="D5" s="244">
        <f>'Исходные данные'!L4</f>
        <v>2639.52</v>
      </c>
      <c r="E5" s="244">
        <f>'Исходные данные'!M4</f>
        <v>43.7</v>
      </c>
      <c r="F5" s="244">
        <f>'Исходные данные'!N4</f>
        <v>18.27</v>
      </c>
      <c r="G5" s="244">
        <f t="shared" si="0"/>
        <v>61.97</v>
      </c>
      <c r="H5" s="244">
        <f t="shared" si="1"/>
        <v>1</v>
      </c>
      <c r="I5" s="244">
        <f t="shared" si="2"/>
        <v>1.01</v>
      </c>
      <c r="J5" s="244">
        <f t="shared" si="3"/>
        <v>0.87</v>
      </c>
      <c r="K5" s="245">
        <f t="shared" si="4"/>
        <v>0.998</v>
      </c>
    </row>
    <row r="6" spans="1:11" ht="12.75">
      <c r="A6" s="25" t="str">
        <f>'Исходные данные'!B5</f>
        <v>Золотодолинское</v>
      </c>
      <c r="B6" s="250">
        <v>3199</v>
      </c>
      <c r="C6" s="243">
        <f>'Исходные данные'!K5</f>
        <v>5.77</v>
      </c>
      <c r="D6" s="244">
        <f>'Исходные данные'!L5</f>
        <v>2639.52</v>
      </c>
      <c r="E6" s="244">
        <f>'Исходные данные'!M5</f>
        <v>30.07</v>
      </c>
      <c r="F6" s="244">
        <f>'Исходные данные'!N5</f>
        <v>13.88</v>
      </c>
      <c r="G6" s="244">
        <f t="shared" si="0"/>
        <v>43.95</v>
      </c>
      <c r="H6" s="244">
        <f t="shared" si="1"/>
        <v>1</v>
      </c>
      <c r="I6" s="244">
        <f t="shared" si="2"/>
        <v>1.01</v>
      </c>
      <c r="J6" s="244">
        <f t="shared" si="3"/>
        <v>0.62</v>
      </c>
      <c r="K6" s="245">
        <f t="shared" si="4"/>
        <v>0.993</v>
      </c>
    </row>
    <row r="7" spans="1:11" ht="12.75">
      <c r="A7" s="25" t="str">
        <f>'Исходные данные'!B6</f>
        <v>Новицкое</v>
      </c>
      <c r="B7" s="250">
        <v>5404</v>
      </c>
      <c r="C7" s="243">
        <f>'Исходные данные'!K6</f>
        <v>5.77</v>
      </c>
      <c r="D7" s="244">
        <f>'Исходные данные'!L6</f>
        <v>2639.52</v>
      </c>
      <c r="E7" s="244">
        <f>'Исходные данные'!M6</f>
        <v>38.75</v>
      </c>
      <c r="F7" s="244">
        <f>'Исходные данные'!N6</f>
        <v>0</v>
      </c>
      <c r="G7" s="244">
        <f t="shared" si="0"/>
        <v>38.75</v>
      </c>
      <c r="H7" s="244">
        <f t="shared" si="1"/>
        <v>1</v>
      </c>
      <c r="I7" s="244">
        <f t="shared" si="2"/>
        <v>1.01</v>
      </c>
      <c r="J7" s="244">
        <v>1</v>
      </c>
      <c r="K7" s="245">
        <v>1</v>
      </c>
    </row>
    <row r="8" spans="1:11" ht="12.75">
      <c r="A8" s="25" t="str">
        <f>'Исходные данные'!B7</f>
        <v>Сергеевское</v>
      </c>
      <c r="B8" s="250">
        <f>3738+8</f>
        <v>3746</v>
      </c>
      <c r="C8" s="243">
        <f>'Исходные данные'!K7</f>
        <v>5.77</v>
      </c>
      <c r="D8" s="244">
        <f>'Исходные данные'!L7</f>
        <v>2747.33</v>
      </c>
      <c r="E8" s="244">
        <f>'Исходные данные'!M7</f>
        <v>56.81</v>
      </c>
      <c r="F8" s="244">
        <f>'Исходные данные'!N7</f>
        <v>0</v>
      </c>
      <c r="G8" s="244">
        <f>E8+F8</f>
        <v>56.81</v>
      </c>
      <c r="H8" s="244">
        <f>C8/$C$10</f>
        <v>1</v>
      </c>
      <c r="I8" s="244">
        <f>D8/$D$10</f>
        <v>1.06</v>
      </c>
      <c r="J8" s="244">
        <v>1</v>
      </c>
      <c r="K8" s="245">
        <v>1</v>
      </c>
    </row>
    <row r="9" spans="1:11" ht="12.75">
      <c r="A9" s="25" t="str">
        <f>'Исходные данные'!B8</f>
        <v>Новолитовское</v>
      </c>
      <c r="B9" s="250">
        <v>5326</v>
      </c>
      <c r="C9" s="243">
        <f>'Исходные данные'!K8</f>
        <v>5.77</v>
      </c>
      <c r="D9" s="244">
        <f>'Исходные данные'!L8</f>
        <v>2420.17</v>
      </c>
      <c r="E9" s="244">
        <f>'Исходные данные'!M8</f>
        <v>46.67</v>
      </c>
      <c r="F9" s="244">
        <f>'Исходные данные'!N8</f>
        <v>43.11</v>
      </c>
      <c r="G9" s="244">
        <f t="shared" si="0"/>
        <v>89.78</v>
      </c>
      <c r="H9" s="244">
        <f t="shared" si="1"/>
        <v>1</v>
      </c>
      <c r="I9" s="244">
        <f t="shared" si="2"/>
        <v>0.93</v>
      </c>
      <c r="J9" s="244">
        <f t="shared" si="3"/>
        <v>1.27</v>
      </c>
      <c r="K9" s="245">
        <f t="shared" si="4"/>
        <v>1.001</v>
      </c>
    </row>
    <row r="10" spans="1:11" ht="12.75">
      <c r="A10" s="246" t="str">
        <f>ИБР!B11</f>
        <v>Муниципальный район</v>
      </c>
      <c r="B10" s="247">
        <f>SUM(B4:B9)</f>
        <v>29554</v>
      </c>
      <c r="C10" s="243">
        <f>'Исходные данные'!K9</f>
        <v>5.77</v>
      </c>
      <c r="D10" s="244">
        <f>'Исходные данные'!L9</f>
        <v>2603.97</v>
      </c>
      <c r="E10" s="244">
        <f>'Исходные данные'!M9</f>
        <v>52.02</v>
      </c>
      <c r="F10" s="244">
        <f>'Исходные данные'!N9</f>
        <v>18.81</v>
      </c>
      <c r="G10" s="244">
        <f t="shared" si="0"/>
        <v>70.83</v>
      </c>
      <c r="H10" s="244">
        <f t="shared" si="1"/>
        <v>1</v>
      </c>
      <c r="I10" s="244">
        <f t="shared" si="2"/>
        <v>1</v>
      </c>
      <c r="J10" s="244">
        <f t="shared" si="3"/>
        <v>1</v>
      </c>
      <c r="K10" s="245">
        <f t="shared" si="4"/>
        <v>1</v>
      </c>
    </row>
  </sheetData>
  <sheetProtection/>
  <mergeCells count="1">
    <mergeCell ref="A1:A2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2016-11-08T06:18:38Z</cp:lastPrinted>
  <dcterms:created xsi:type="dcterms:W3CDTF">2005-08-08T02:59:38Z</dcterms:created>
  <dcterms:modified xsi:type="dcterms:W3CDTF">2016-11-08T06:35:11Z</dcterms:modified>
  <cp:category/>
  <cp:version/>
  <cp:contentType/>
  <cp:contentStatus/>
</cp:coreProperties>
</file>