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600" windowHeight="11535"/>
  </bookViews>
  <sheets>
    <sheet name="Прил. №6 " sheetId="8" r:id="rId1"/>
  </sheets>
  <definedNames>
    <definedName name="_xlnm.Print_Titles" localSheetId="0">'Прил. №6 '!$10:$10</definedName>
    <definedName name="_xlnm.Print_Area" localSheetId="0">'Прил. №6 '!$A$3:$AA$414</definedName>
  </definedNames>
  <calcPr calcId="145621"/>
</workbook>
</file>

<file path=xl/calcChain.xml><?xml version="1.0" encoding="utf-8"?>
<calcChain xmlns="http://schemas.openxmlformats.org/spreadsheetml/2006/main">
  <c r="I378" i="8" l="1"/>
  <c r="I380" i="8"/>
  <c r="N362" i="8"/>
  <c r="M362" i="8"/>
  <c r="L362" i="8"/>
  <c r="K362" i="8"/>
  <c r="J362" i="8"/>
  <c r="I363" i="8"/>
  <c r="J349" i="8" l="1"/>
  <c r="J351" i="8"/>
  <c r="J352" i="8"/>
  <c r="J17" i="8"/>
  <c r="J21" i="8"/>
  <c r="I22" i="8"/>
  <c r="I21" i="8" s="1"/>
  <c r="K100" i="8"/>
  <c r="K116" i="8"/>
  <c r="K114" i="8" s="1"/>
  <c r="I114" i="8" s="1"/>
  <c r="I115" i="8"/>
  <c r="I375" i="8"/>
  <c r="I230" i="8"/>
  <c r="K278" i="8"/>
  <c r="K261" i="8"/>
  <c r="K228" i="8"/>
  <c r="I228" i="8" s="1"/>
  <c r="I116" i="8" l="1"/>
  <c r="K101" i="8"/>
  <c r="J148" i="8"/>
  <c r="J100" i="8"/>
  <c r="J101" i="8"/>
  <c r="K388" i="8"/>
  <c r="I388" i="8" s="1"/>
  <c r="I387" i="8" s="1"/>
  <c r="K367" i="8"/>
  <c r="K372" i="8"/>
  <c r="N369" i="8"/>
  <c r="N367" i="8" s="1"/>
  <c r="M369" i="8"/>
  <c r="M367" i="8" s="1"/>
  <c r="L369" i="8"/>
  <c r="L367" i="8" s="1"/>
  <c r="J367" i="8"/>
  <c r="I368" i="8"/>
  <c r="N393" i="8"/>
  <c r="M393" i="8"/>
  <c r="L393" i="8"/>
  <c r="K393" i="8"/>
  <c r="J393" i="8"/>
  <c r="J372" i="8"/>
  <c r="N374" i="8"/>
  <c r="N372" i="8" s="1"/>
  <c r="M374" i="8"/>
  <c r="M372" i="8" s="1"/>
  <c r="L374" i="8"/>
  <c r="N399" i="8"/>
  <c r="M399" i="8"/>
  <c r="L399" i="8"/>
  <c r="K399" i="8"/>
  <c r="J399" i="8"/>
  <c r="J382" i="8"/>
  <c r="N383" i="8"/>
  <c r="N382" i="8" s="1"/>
  <c r="M383" i="8"/>
  <c r="M382" i="8" s="1"/>
  <c r="L383" i="8"/>
  <c r="L382" i="8" s="1"/>
  <c r="N396" i="8"/>
  <c r="M396" i="8"/>
  <c r="L396" i="8"/>
  <c r="K396" i="8"/>
  <c r="J396" i="8"/>
  <c r="N402" i="8"/>
  <c r="M402" i="8"/>
  <c r="L402" i="8"/>
  <c r="K402" i="8"/>
  <c r="J402" i="8"/>
  <c r="J377" i="8"/>
  <c r="N379" i="8"/>
  <c r="N377" i="8" s="1"/>
  <c r="M379" i="8"/>
  <c r="M377" i="8" s="1"/>
  <c r="L379" i="8"/>
  <c r="L377" i="8" s="1"/>
  <c r="K379" i="8"/>
  <c r="I379" i="8" s="1"/>
  <c r="I377" i="8" s="1"/>
  <c r="N390" i="8"/>
  <c r="M390" i="8"/>
  <c r="L390" i="8"/>
  <c r="K390" i="8"/>
  <c r="J390" i="8"/>
  <c r="I412" i="8"/>
  <c r="I411" i="8"/>
  <c r="I410" i="8"/>
  <c r="N409" i="8"/>
  <c r="M409" i="8"/>
  <c r="L409" i="8"/>
  <c r="K409" i="8"/>
  <c r="I381" i="8"/>
  <c r="I408" i="8"/>
  <c r="I405" i="8"/>
  <c r="I404" i="8"/>
  <c r="I403" i="8"/>
  <c r="I376" i="8"/>
  <c r="I401" i="8"/>
  <c r="I399" i="8" s="1"/>
  <c r="I386" i="8"/>
  <c r="I398" i="8"/>
  <c r="I396" i="8" s="1"/>
  <c r="I371" i="8"/>
  <c r="I395" i="8"/>
  <c r="I394" i="8"/>
  <c r="I366" i="8"/>
  <c r="I392" i="8"/>
  <c r="I390" i="8" s="1"/>
  <c r="N387" i="8"/>
  <c r="M387" i="8"/>
  <c r="L387" i="8"/>
  <c r="J387" i="8"/>
  <c r="I384" i="8"/>
  <c r="I373" i="8"/>
  <c r="I370" i="8"/>
  <c r="I365" i="8"/>
  <c r="I364" i="8"/>
  <c r="I358" i="8"/>
  <c r="I357" i="8"/>
  <c r="J356" i="8"/>
  <c r="I356" i="8" s="1"/>
  <c r="I355" i="8"/>
  <c r="I354" i="8"/>
  <c r="J353" i="8"/>
  <c r="N343" i="8"/>
  <c r="M343" i="8"/>
  <c r="L343" i="8"/>
  <c r="K343" i="8"/>
  <c r="J343" i="8"/>
  <c r="I343" i="8"/>
  <c r="N342" i="8"/>
  <c r="N340" i="8" s="1"/>
  <c r="M342" i="8"/>
  <c r="M340" i="8" s="1"/>
  <c r="L342" i="8"/>
  <c r="L340" i="8" s="1"/>
  <c r="K342" i="8"/>
  <c r="K340" i="8" s="1"/>
  <c r="J342" i="8"/>
  <c r="J336" i="8" s="1"/>
  <c r="J334" i="8" s="1"/>
  <c r="N339" i="8"/>
  <c r="M339" i="8"/>
  <c r="L339" i="8"/>
  <c r="L337" i="8" s="1"/>
  <c r="K339" i="8"/>
  <c r="J337" i="8"/>
  <c r="N333" i="8"/>
  <c r="N330" i="8" s="1"/>
  <c r="M333" i="8"/>
  <c r="M330" i="8" s="1"/>
  <c r="L333" i="8"/>
  <c r="L330" i="8" s="1"/>
  <c r="K333" i="8"/>
  <c r="K330" i="8" s="1"/>
  <c r="J333" i="8"/>
  <c r="J330" i="8" s="1"/>
  <c r="N329" i="8"/>
  <c r="N327" i="8" s="1"/>
  <c r="M329" i="8"/>
  <c r="M327" i="8" s="1"/>
  <c r="L329" i="8"/>
  <c r="L327" i="8" s="1"/>
  <c r="K329" i="8"/>
  <c r="N326" i="8"/>
  <c r="M326" i="8"/>
  <c r="L326" i="8"/>
  <c r="L324" i="8" s="1"/>
  <c r="K326" i="8"/>
  <c r="K324" i="8" s="1"/>
  <c r="J324" i="8"/>
  <c r="I323" i="8"/>
  <c r="J321" i="8"/>
  <c r="I321" i="8" s="1"/>
  <c r="N317" i="8"/>
  <c r="N315" i="8" s="1"/>
  <c r="M317" i="8"/>
  <c r="M315" i="8" s="1"/>
  <c r="L317" i="8"/>
  <c r="L315" i="8" s="1"/>
  <c r="K317" i="8"/>
  <c r="K315" i="8" s="1"/>
  <c r="J317" i="8"/>
  <c r="J305" i="8" s="1"/>
  <c r="N314" i="8"/>
  <c r="N312" i="8" s="1"/>
  <c r="M314" i="8"/>
  <c r="M312" i="8" s="1"/>
  <c r="L314" i="8"/>
  <c r="J312" i="8"/>
  <c r="J309" i="8"/>
  <c r="I309" i="8" s="1"/>
  <c r="N308" i="8"/>
  <c r="N306" i="8" s="1"/>
  <c r="M308" i="8"/>
  <c r="M306" i="8" s="1"/>
  <c r="L308" i="8"/>
  <c r="L306" i="8" s="1"/>
  <c r="K308" i="8"/>
  <c r="J306" i="8"/>
  <c r="I302" i="8"/>
  <c r="I300" i="8" s="1"/>
  <c r="J300" i="8"/>
  <c r="N299" i="8"/>
  <c r="N297" i="8" s="1"/>
  <c r="M299" i="8"/>
  <c r="M297" i="8" s="1"/>
  <c r="L299" i="8"/>
  <c r="L297" i="8" s="1"/>
  <c r="K299" i="8"/>
  <c r="K297" i="8" s="1"/>
  <c r="J299" i="8"/>
  <c r="J297" i="8" s="1"/>
  <c r="N296" i="8"/>
  <c r="N294" i="8" s="1"/>
  <c r="M296" i="8"/>
  <c r="M294" i="8" s="1"/>
  <c r="L296" i="8"/>
  <c r="L294" i="8" s="1"/>
  <c r="N293" i="8"/>
  <c r="N291" i="8" s="1"/>
  <c r="M293" i="8"/>
  <c r="M291" i="8" s="1"/>
  <c r="L293" i="8"/>
  <c r="L291" i="8" s="1"/>
  <c r="K293" i="8"/>
  <c r="J291" i="8"/>
  <c r="I284" i="8"/>
  <c r="I282" i="8" s="1"/>
  <c r="J282" i="8"/>
  <c r="N281" i="8"/>
  <c r="N279" i="8" s="1"/>
  <c r="M281" i="8"/>
  <c r="M279" i="8" s="1"/>
  <c r="L281" i="8"/>
  <c r="L279" i="8" s="1"/>
  <c r="K281" i="8"/>
  <c r="K279" i="8" s="1"/>
  <c r="J281" i="8"/>
  <c r="J279" i="8" s="1"/>
  <c r="N278" i="8"/>
  <c r="N276" i="8" s="1"/>
  <c r="M278" i="8"/>
  <c r="M276" i="8" s="1"/>
  <c r="L278" i="8"/>
  <c r="L276" i="8" s="1"/>
  <c r="K276" i="8"/>
  <c r="N275" i="8"/>
  <c r="M275" i="8"/>
  <c r="M273" i="8" s="1"/>
  <c r="L275" i="8"/>
  <c r="L273" i="8" s="1"/>
  <c r="K275" i="8"/>
  <c r="J273" i="8"/>
  <c r="I272" i="8"/>
  <c r="J270" i="8"/>
  <c r="I270" i="8" s="1"/>
  <c r="N266" i="8"/>
  <c r="N264" i="8" s="1"/>
  <c r="M266" i="8"/>
  <c r="M264" i="8" s="1"/>
  <c r="L266" i="8"/>
  <c r="L264" i="8" s="1"/>
  <c r="K266" i="8"/>
  <c r="K264" i="8" s="1"/>
  <c r="J266" i="8"/>
  <c r="J254" i="8" s="1"/>
  <c r="J252" i="8" s="1"/>
  <c r="N263" i="8"/>
  <c r="N261" i="8" s="1"/>
  <c r="M263" i="8"/>
  <c r="M261" i="8" s="1"/>
  <c r="L263" i="8"/>
  <c r="N260" i="8"/>
  <c r="M260" i="8"/>
  <c r="M258" i="8" s="1"/>
  <c r="L260" i="8"/>
  <c r="L258" i="8" s="1"/>
  <c r="K260" i="8"/>
  <c r="J258" i="8"/>
  <c r="I257" i="8"/>
  <c r="J255" i="8"/>
  <c r="I255" i="8" s="1"/>
  <c r="N251" i="8"/>
  <c r="N249" i="8" s="1"/>
  <c r="M251" i="8"/>
  <c r="M249" i="8" s="1"/>
  <c r="L251" i="8"/>
  <c r="L249" i="8" s="1"/>
  <c r="K251" i="8"/>
  <c r="K249" i="8" s="1"/>
  <c r="J251" i="8"/>
  <c r="J249" i="8" s="1"/>
  <c r="I248" i="8"/>
  <c r="J246" i="8"/>
  <c r="I246" i="8" s="1"/>
  <c r="N245" i="8"/>
  <c r="N243" i="8" s="1"/>
  <c r="M245" i="8"/>
  <c r="M243" i="8" s="1"/>
  <c r="L245" i="8"/>
  <c r="L243" i="8" s="1"/>
  <c r="N242" i="8"/>
  <c r="M242" i="8"/>
  <c r="M240" i="8" s="1"/>
  <c r="L242" i="8"/>
  <c r="K242" i="8"/>
  <c r="K240" i="8" s="1"/>
  <c r="J240" i="8"/>
  <c r="I233" i="8"/>
  <c r="I231" i="8"/>
  <c r="I224" i="8"/>
  <c r="N222" i="8"/>
  <c r="I222" i="8" s="1"/>
  <c r="I221" i="8"/>
  <c r="I220" i="8"/>
  <c r="L219" i="8"/>
  <c r="I219" i="8" s="1"/>
  <c r="I218" i="8"/>
  <c r="I217" i="8"/>
  <c r="M216" i="8"/>
  <c r="I216" i="8" s="1"/>
  <c r="N215" i="8"/>
  <c r="M215" i="8"/>
  <c r="L215" i="8"/>
  <c r="K215" i="8"/>
  <c r="N214" i="8"/>
  <c r="N213" i="8" s="1"/>
  <c r="M214" i="8"/>
  <c r="L214" i="8"/>
  <c r="K214" i="8"/>
  <c r="I212" i="8"/>
  <c r="N210" i="8"/>
  <c r="I210" i="8" s="1"/>
  <c r="I209" i="8"/>
  <c r="I208" i="8"/>
  <c r="N207" i="8"/>
  <c r="I207" i="8" s="1"/>
  <c r="M206" i="8"/>
  <c r="I206" i="8" s="1"/>
  <c r="I205" i="8"/>
  <c r="I203" i="8"/>
  <c r="L201" i="8"/>
  <c r="I201" i="8" s="1"/>
  <c r="L200" i="8"/>
  <c r="I200" i="8" s="1"/>
  <c r="I199" i="8"/>
  <c r="I197" i="8"/>
  <c r="M195" i="8"/>
  <c r="I195" i="8" s="1"/>
  <c r="I194" i="8"/>
  <c r="K192" i="8"/>
  <c r="I192" i="8" s="1"/>
  <c r="K191" i="8"/>
  <c r="K176" i="8" s="1"/>
  <c r="I188" i="8"/>
  <c r="K186" i="8"/>
  <c r="I186" i="8" s="1"/>
  <c r="I185" i="8"/>
  <c r="J183" i="8"/>
  <c r="I183" i="8" s="1"/>
  <c r="I182" i="8"/>
  <c r="I181" i="8"/>
  <c r="J180" i="8"/>
  <c r="I180" i="8" s="1"/>
  <c r="I179" i="8"/>
  <c r="I178" i="8"/>
  <c r="J177" i="8"/>
  <c r="I177" i="8" s="1"/>
  <c r="N176" i="8"/>
  <c r="J176" i="8"/>
  <c r="N175" i="8"/>
  <c r="M175" i="8"/>
  <c r="L175" i="8"/>
  <c r="J175" i="8"/>
  <c r="N173" i="8"/>
  <c r="I173" i="8" s="1"/>
  <c r="I172" i="8"/>
  <c r="I170" i="8"/>
  <c r="I169" i="8"/>
  <c r="N168" i="8"/>
  <c r="I168" i="8" s="1"/>
  <c r="M167" i="8"/>
  <c r="M165" i="8" s="1"/>
  <c r="I165" i="8" s="1"/>
  <c r="I166" i="8"/>
  <c r="I164" i="8"/>
  <c r="L162" i="8"/>
  <c r="I162" i="8" s="1"/>
  <c r="I161" i="8"/>
  <c r="L159" i="8"/>
  <c r="I159" i="8" s="1"/>
  <c r="L158" i="8"/>
  <c r="I158" i="8" s="1"/>
  <c r="I157" i="8"/>
  <c r="I155" i="8"/>
  <c r="I153" i="8"/>
  <c r="I152" i="8"/>
  <c r="J150" i="8"/>
  <c r="I150" i="8" s="1"/>
  <c r="J149" i="8"/>
  <c r="N148" i="8"/>
  <c r="M148" i="8"/>
  <c r="L148" i="8"/>
  <c r="N146" i="8"/>
  <c r="N144" i="8" s="1"/>
  <c r="I144" i="8" s="1"/>
  <c r="I145" i="8"/>
  <c r="M143" i="8"/>
  <c r="M141" i="8" s="1"/>
  <c r="I141" i="8" s="1"/>
  <c r="I142" i="8"/>
  <c r="I140" i="8"/>
  <c r="I139" i="8"/>
  <c r="L138" i="8"/>
  <c r="I138" i="8" s="1"/>
  <c r="I137" i="8"/>
  <c r="I136" i="8"/>
  <c r="J135" i="8"/>
  <c r="I135" i="8" s="1"/>
  <c r="L128" i="8"/>
  <c r="J128" i="8"/>
  <c r="N127" i="8"/>
  <c r="M127" i="8"/>
  <c r="L127" i="8"/>
  <c r="J127" i="8"/>
  <c r="I125" i="8"/>
  <c r="I124" i="8"/>
  <c r="N123" i="8"/>
  <c r="I123" i="8" s="1"/>
  <c r="I122" i="8"/>
  <c r="M120" i="8"/>
  <c r="I120" i="8" s="1"/>
  <c r="L119" i="8"/>
  <c r="I119" i="8" s="1"/>
  <c r="I118" i="8"/>
  <c r="I110" i="8"/>
  <c r="J108" i="8"/>
  <c r="I108" i="8" s="1"/>
  <c r="I104" i="8"/>
  <c r="I103" i="8"/>
  <c r="J102" i="8"/>
  <c r="I102" i="8" s="1"/>
  <c r="N101" i="8"/>
  <c r="M101" i="8"/>
  <c r="M99" i="8" s="1"/>
  <c r="N100" i="8"/>
  <c r="L100" i="8"/>
  <c r="I98" i="8"/>
  <c r="I97" i="8"/>
  <c r="N96" i="8"/>
  <c r="I96" i="8" s="1"/>
  <c r="I95" i="8"/>
  <c r="M93" i="8"/>
  <c r="I93" i="8" s="1"/>
  <c r="M92" i="8"/>
  <c r="I92" i="8" s="1"/>
  <c r="I91" i="8"/>
  <c r="M89" i="8"/>
  <c r="I89" i="8" s="1"/>
  <c r="I88" i="8"/>
  <c r="L86" i="8"/>
  <c r="L84" i="8" s="1"/>
  <c r="I84" i="8" s="1"/>
  <c r="I85" i="8"/>
  <c r="M83" i="8"/>
  <c r="M81" i="8" s="1"/>
  <c r="I81" i="8" s="1"/>
  <c r="I82" i="8"/>
  <c r="K47" i="8"/>
  <c r="I74" i="8"/>
  <c r="J72" i="8"/>
  <c r="I72" i="8" s="1"/>
  <c r="I71" i="8"/>
  <c r="J69" i="8"/>
  <c r="I69" i="8" s="1"/>
  <c r="I59" i="8"/>
  <c r="I58" i="8"/>
  <c r="J57" i="8"/>
  <c r="I57" i="8" s="1"/>
  <c r="I56" i="8"/>
  <c r="I55" i="8"/>
  <c r="J54" i="8"/>
  <c r="I54" i="8" s="1"/>
  <c r="I53" i="8"/>
  <c r="I52" i="8"/>
  <c r="J51" i="8"/>
  <c r="I51" i="8" s="1"/>
  <c r="I50" i="8"/>
  <c r="I49" i="8"/>
  <c r="J48" i="8"/>
  <c r="I48" i="8" s="1"/>
  <c r="N47" i="8"/>
  <c r="J47" i="8"/>
  <c r="N46" i="8"/>
  <c r="M46" i="8"/>
  <c r="L46" i="8"/>
  <c r="K46" i="8"/>
  <c r="J46" i="8"/>
  <c r="N44" i="8"/>
  <c r="M44" i="8"/>
  <c r="L44" i="8"/>
  <c r="I40" i="8"/>
  <c r="I39" i="8"/>
  <c r="I38" i="8"/>
  <c r="I37" i="8"/>
  <c r="I36" i="8"/>
  <c r="I35" i="8"/>
  <c r="N34" i="8"/>
  <c r="N31" i="8" s="1"/>
  <c r="M34" i="8"/>
  <c r="M31" i="8" s="1"/>
  <c r="L34" i="8"/>
  <c r="L31" i="8" s="1"/>
  <c r="K34" i="8"/>
  <c r="K31" i="8" s="1"/>
  <c r="J34" i="8"/>
  <c r="J31" i="8" s="1"/>
  <c r="N33" i="8"/>
  <c r="N30" i="8" s="1"/>
  <c r="M33" i="8"/>
  <c r="M30" i="8" s="1"/>
  <c r="L33" i="8"/>
  <c r="K33" i="8"/>
  <c r="J33" i="8"/>
  <c r="I20" i="8"/>
  <c r="N18" i="8"/>
  <c r="M18" i="8"/>
  <c r="L18" i="8"/>
  <c r="K18" i="8"/>
  <c r="K17" i="8" s="1"/>
  <c r="J18" i="8"/>
  <c r="N17" i="8"/>
  <c r="N15" i="8" s="1"/>
  <c r="M17" i="8"/>
  <c r="M15" i="8" s="1"/>
  <c r="L17" i="8"/>
  <c r="L15" i="8" s="1"/>
  <c r="J15" i="8"/>
  <c r="I362" i="8" l="1"/>
  <c r="J99" i="8"/>
  <c r="I353" i="8"/>
  <c r="I350" i="8" s="1"/>
  <c r="J350" i="8"/>
  <c r="I175" i="8"/>
  <c r="I351" i="8"/>
  <c r="I100" i="8"/>
  <c r="I148" i="8"/>
  <c r="L149" i="8"/>
  <c r="I352" i="8"/>
  <c r="L372" i="8"/>
  <c r="I374" i="8"/>
  <c r="I372" i="8" s="1"/>
  <c r="I349" i="8"/>
  <c r="I347" i="8" s="1"/>
  <c r="J347" i="8"/>
  <c r="K189" i="8"/>
  <c r="I189" i="8" s="1"/>
  <c r="K44" i="8"/>
  <c r="K43" i="8" s="1"/>
  <c r="K27" i="8" s="1"/>
  <c r="I101" i="8"/>
  <c r="I127" i="8"/>
  <c r="I393" i="8"/>
  <c r="K387" i="8"/>
  <c r="I369" i="8"/>
  <c r="I367" i="8" s="1"/>
  <c r="N99" i="8"/>
  <c r="N336" i="8"/>
  <c r="N334" i="8" s="1"/>
  <c r="N337" i="8"/>
  <c r="I383" i="8"/>
  <c r="I382" i="8" s="1"/>
  <c r="K382" i="8"/>
  <c r="I402" i="8"/>
  <c r="L213" i="8"/>
  <c r="K126" i="8"/>
  <c r="J126" i="8"/>
  <c r="K45" i="8"/>
  <c r="J45" i="8"/>
  <c r="N174" i="8"/>
  <c r="I214" i="8"/>
  <c r="L101" i="8"/>
  <c r="L99" i="8" s="1"/>
  <c r="J174" i="8"/>
  <c r="J239" i="8"/>
  <c r="N320" i="8"/>
  <c r="N318" i="8" s="1"/>
  <c r="J32" i="8"/>
  <c r="N45" i="8"/>
  <c r="J320" i="8"/>
  <c r="J318" i="8" s="1"/>
  <c r="L47" i="8"/>
  <c r="L45" i="8" s="1"/>
  <c r="I242" i="8"/>
  <c r="J264" i="8"/>
  <c r="K320" i="8"/>
  <c r="K318" i="8" s="1"/>
  <c r="M336" i="8"/>
  <c r="M334" i="8" s="1"/>
  <c r="N361" i="8"/>
  <c r="K147" i="8"/>
  <c r="I260" i="8"/>
  <c r="I258" i="8" s="1"/>
  <c r="J287" i="8"/>
  <c r="J285" i="8" s="1"/>
  <c r="M320" i="8"/>
  <c r="M318" i="8" s="1"/>
  <c r="M361" i="8"/>
  <c r="L117" i="8"/>
  <c r="I117" i="8" s="1"/>
  <c r="J147" i="8"/>
  <c r="N254" i="8"/>
  <c r="N252" i="8" s="1"/>
  <c r="J30" i="8"/>
  <c r="J29" i="8" s="1"/>
  <c r="M32" i="8"/>
  <c r="M29" i="8" s="1"/>
  <c r="I86" i="8"/>
  <c r="L147" i="8"/>
  <c r="L32" i="8"/>
  <c r="L29" i="8" s="1"/>
  <c r="N128" i="8"/>
  <c r="N126" i="8" s="1"/>
  <c r="I146" i="8"/>
  <c r="L156" i="8"/>
  <c r="I156" i="8" s="1"/>
  <c r="I167" i="8"/>
  <c r="I149" i="8" s="1"/>
  <c r="M176" i="8"/>
  <c r="M174" i="8" s="1"/>
  <c r="M204" i="8"/>
  <c r="I204" i="8" s="1"/>
  <c r="L240" i="8"/>
  <c r="I266" i="8"/>
  <c r="I264" i="8" s="1"/>
  <c r="J269" i="8"/>
  <c r="J267" i="8" s="1"/>
  <c r="N269" i="8"/>
  <c r="N267" i="8" s="1"/>
  <c r="J340" i="8"/>
  <c r="I340" i="8" s="1"/>
  <c r="J361" i="8"/>
  <c r="L361" i="8"/>
  <c r="I33" i="8"/>
  <c r="N149" i="8"/>
  <c r="N147" i="8" s="1"/>
  <c r="L176" i="8"/>
  <c r="L174" i="8" s="1"/>
  <c r="L198" i="8"/>
  <c r="I198" i="8" s="1"/>
  <c r="I215" i="8"/>
  <c r="I245" i="8"/>
  <c r="I281" i="8"/>
  <c r="I317" i="8"/>
  <c r="I315" i="8" s="1"/>
  <c r="L320" i="8"/>
  <c r="L318" i="8" s="1"/>
  <c r="L389" i="8"/>
  <c r="I251" i="8"/>
  <c r="I249" i="8" s="1"/>
  <c r="I275" i="8"/>
  <c r="I299" i="8"/>
  <c r="K377" i="8"/>
  <c r="I18" i="8"/>
  <c r="L42" i="8"/>
  <c r="I46" i="8"/>
  <c r="I263" i="8"/>
  <c r="I261" i="8" s="1"/>
  <c r="N305" i="8"/>
  <c r="N303" i="8" s="1"/>
  <c r="I339" i="8"/>
  <c r="J389" i="8"/>
  <c r="J42" i="8"/>
  <c r="M87" i="8"/>
  <c r="I87" i="8" s="1"/>
  <c r="K99" i="8"/>
  <c r="L126" i="8"/>
  <c r="M149" i="8"/>
  <c r="M147" i="8" s="1"/>
  <c r="K42" i="8"/>
  <c r="M254" i="8"/>
  <c r="M252" i="8" s="1"/>
  <c r="M269" i="8"/>
  <c r="M267" i="8" s="1"/>
  <c r="I278" i="8"/>
  <c r="N287" i="8"/>
  <c r="N285" i="8" s="1"/>
  <c r="I296" i="8"/>
  <c r="M305" i="8"/>
  <c r="M303" i="8" s="1"/>
  <c r="K305" i="8"/>
  <c r="K303" i="8" s="1"/>
  <c r="L305" i="8"/>
  <c r="L303" i="8" s="1"/>
  <c r="I333" i="8"/>
  <c r="K336" i="8"/>
  <c r="K334" i="8" s="1"/>
  <c r="I342" i="8"/>
  <c r="M389" i="8"/>
  <c r="I409" i="8"/>
  <c r="M42" i="8"/>
  <c r="M26" i="8" s="1"/>
  <c r="M12" i="8" s="1"/>
  <c r="I329" i="8"/>
  <c r="L336" i="8"/>
  <c r="L334" i="8" s="1"/>
  <c r="N389" i="8"/>
  <c r="N32" i="8"/>
  <c r="N29" i="8" s="1"/>
  <c r="M90" i="8"/>
  <c r="I90" i="8" s="1"/>
  <c r="N171" i="8"/>
  <c r="I171" i="8" s="1"/>
  <c r="M213" i="8"/>
  <c r="M239" i="8"/>
  <c r="M237" i="8" s="1"/>
  <c r="N239" i="8"/>
  <c r="L254" i="8"/>
  <c r="L252" i="8" s="1"/>
  <c r="L269" i="8"/>
  <c r="L267" i="8" s="1"/>
  <c r="K287" i="8"/>
  <c r="K285" i="8" s="1"/>
  <c r="J303" i="8"/>
  <c r="I314" i="8"/>
  <c r="J315" i="8"/>
  <c r="I326" i="8"/>
  <c r="K389" i="8"/>
  <c r="K15" i="8"/>
  <c r="I17" i="8"/>
  <c r="I31" i="8"/>
  <c r="I276" i="8"/>
  <c r="I330" i="8"/>
  <c r="I279" i="8"/>
  <c r="I297" i="8"/>
  <c r="I34" i="8"/>
  <c r="I83" i="8"/>
  <c r="K213" i="8"/>
  <c r="K258" i="8"/>
  <c r="K273" i="8"/>
  <c r="I293" i="8"/>
  <c r="I308" i="8"/>
  <c r="L312" i="8"/>
  <c r="N324" i="8"/>
  <c r="M337" i="8"/>
  <c r="L30" i="8"/>
  <c r="N42" i="8"/>
  <c r="J44" i="8"/>
  <c r="M128" i="8"/>
  <c r="M126" i="8" s="1"/>
  <c r="I191" i="8"/>
  <c r="I176" i="8" s="1"/>
  <c r="K239" i="8"/>
  <c r="K243" i="8"/>
  <c r="I243" i="8" s="1"/>
  <c r="K254" i="8"/>
  <c r="K252" i="8" s="1"/>
  <c r="N258" i="8"/>
  <c r="L261" i="8"/>
  <c r="K269" i="8"/>
  <c r="K267" i="8" s="1"/>
  <c r="N273" i="8"/>
  <c r="L287" i="8"/>
  <c r="L285" i="8" s="1"/>
  <c r="I311" i="8"/>
  <c r="K312" i="8"/>
  <c r="M324" i="8"/>
  <c r="K327" i="8"/>
  <c r="I327" i="8" s="1"/>
  <c r="M47" i="8"/>
  <c r="I143" i="8"/>
  <c r="L239" i="8"/>
  <c r="N240" i="8"/>
  <c r="M287" i="8"/>
  <c r="K291" i="8"/>
  <c r="I291" i="8" s="1"/>
  <c r="K306" i="8"/>
  <c r="I306" i="8" s="1"/>
  <c r="K30" i="8"/>
  <c r="K32" i="8"/>
  <c r="K174" i="8"/>
  <c r="K294" i="8"/>
  <c r="I294" i="8" s="1"/>
  <c r="K337" i="8"/>
  <c r="I43" i="8" l="1"/>
  <c r="I27" i="8" s="1"/>
  <c r="J237" i="8"/>
  <c r="J236" i="8"/>
  <c r="J234" i="8" s="1"/>
  <c r="I128" i="8"/>
  <c r="I147" i="8"/>
  <c r="J26" i="8"/>
  <c r="J12" i="8" s="1"/>
  <c r="J360" i="8"/>
  <c r="K361" i="8"/>
  <c r="K360" i="8" s="1"/>
  <c r="N359" i="8"/>
  <c r="I337" i="8"/>
  <c r="I334" i="8" s="1"/>
  <c r="I239" i="8"/>
  <c r="I32" i="8"/>
  <c r="M359" i="8"/>
  <c r="I99" i="8"/>
  <c r="N236" i="8"/>
  <c r="N234" i="8" s="1"/>
  <c r="L360" i="8"/>
  <c r="L26" i="8"/>
  <c r="L12" i="8" s="1"/>
  <c r="N43" i="8"/>
  <c r="N27" i="8" s="1"/>
  <c r="N13" i="8" s="1"/>
  <c r="L43" i="8"/>
  <c r="L27" i="8" s="1"/>
  <c r="L13" i="8" s="1"/>
  <c r="I320" i="8"/>
  <c r="N237" i="8"/>
  <c r="I47" i="8"/>
  <c r="I269" i="8"/>
  <c r="I273" i="8"/>
  <c r="I267" i="8" s="1"/>
  <c r="I13" i="8"/>
  <c r="K13" i="8"/>
  <c r="I240" i="8"/>
  <c r="I126" i="8"/>
  <c r="I174" i="8"/>
  <c r="I285" i="8"/>
  <c r="I287" i="8"/>
  <c r="I361" i="8"/>
  <c r="N360" i="8"/>
  <c r="I42" i="8"/>
  <c r="J359" i="8"/>
  <c r="I254" i="8"/>
  <c r="I252" i="8" s="1"/>
  <c r="I324" i="8"/>
  <c r="I318" i="8" s="1"/>
  <c r="I213" i="8"/>
  <c r="L359" i="8"/>
  <c r="I389" i="8"/>
  <c r="M360" i="8"/>
  <c r="I336" i="8"/>
  <c r="K26" i="8"/>
  <c r="K12" i="8" s="1"/>
  <c r="K29" i="8"/>
  <c r="I29" i="8" s="1"/>
  <c r="K236" i="8"/>
  <c r="K234" i="8" s="1"/>
  <c r="K237" i="8"/>
  <c r="I44" i="8"/>
  <c r="J43" i="8"/>
  <c r="I312" i="8"/>
  <c r="I303" i="8" s="1"/>
  <c r="M285" i="8"/>
  <c r="M236" i="8"/>
  <c r="M45" i="8"/>
  <c r="I45" i="8" s="1"/>
  <c r="M43" i="8"/>
  <c r="N26" i="8"/>
  <c r="N12" i="8" s="1"/>
  <c r="L237" i="8"/>
  <c r="L236" i="8"/>
  <c r="I305" i="8"/>
  <c r="I30" i="8"/>
  <c r="I15" i="8"/>
  <c r="I237" i="8" l="1"/>
  <c r="I236" i="8"/>
  <c r="I28" i="8" s="1"/>
  <c r="L41" i="8"/>
  <c r="K41" i="8"/>
  <c r="K25" i="8" s="1"/>
  <c r="K359" i="8"/>
  <c r="N41" i="8"/>
  <c r="N25" i="8" s="1"/>
  <c r="N11" i="8" s="1"/>
  <c r="J406" i="8"/>
  <c r="I406" i="8" s="1"/>
  <c r="N28" i="8"/>
  <c r="N14" i="8" s="1"/>
  <c r="I360" i="8"/>
  <c r="I359" i="8"/>
  <c r="J28" i="8"/>
  <c r="J14" i="8" s="1"/>
  <c r="I26" i="8"/>
  <c r="I12" i="8" s="1"/>
  <c r="I234" i="8"/>
  <c r="M234" i="8"/>
  <c r="M28" i="8"/>
  <c r="M14" i="8" s="1"/>
  <c r="L234" i="8"/>
  <c r="L28" i="8"/>
  <c r="L14" i="8" s="1"/>
  <c r="M27" i="8"/>
  <c r="M13" i="8" s="1"/>
  <c r="M41" i="8"/>
  <c r="J41" i="8"/>
  <c r="J27" i="8"/>
  <c r="J13" i="8" s="1"/>
  <c r="K28" i="8"/>
  <c r="L25" i="8" l="1"/>
  <c r="L11" i="8" s="1"/>
  <c r="K14" i="8"/>
  <c r="K11" i="8"/>
  <c r="M25" i="8"/>
  <c r="M11" i="8" s="1"/>
  <c r="I14" i="8"/>
  <c r="I41" i="8"/>
  <c r="I25" i="8" s="1"/>
  <c r="I11" i="8" s="1"/>
  <c r="J25" i="8"/>
  <c r="J11" i="8" s="1"/>
</calcChain>
</file>

<file path=xl/sharedStrings.xml><?xml version="1.0" encoding="utf-8"?>
<sst xmlns="http://schemas.openxmlformats.org/spreadsheetml/2006/main" count="813" uniqueCount="342">
  <si>
    <t>Код бюджетной</t>
  </si>
  <si>
    <t>классификации</t>
  </si>
  <si>
    <t>2.2.</t>
  </si>
  <si>
    <t>1.</t>
  </si>
  <si>
    <t>1</t>
  </si>
  <si>
    <t>2.</t>
  </si>
  <si>
    <t>3</t>
  </si>
  <si>
    <t>4</t>
  </si>
  <si>
    <t>5</t>
  </si>
  <si>
    <t>6</t>
  </si>
  <si>
    <t>7</t>
  </si>
  <si>
    <t>№ п/п</t>
  </si>
  <si>
    <t>2.1.</t>
  </si>
  <si>
    <t>3.</t>
  </si>
  <si>
    <t>3.1.</t>
  </si>
  <si>
    <t>3.2.</t>
  </si>
  <si>
    <t>районный бюджет</t>
  </si>
  <si>
    <t>Всего расходов, тыс.рублей</t>
  </si>
  <si>
    <t>План расходов по годам реализации, тыс.рублей</t>
  </si>
  <si>
    <t>всего</t>
  </si>
  <si>
    <t>краевой бюджет</t>
  </si>
  <si>
    <t>Исполнитель</t>
  </si>
  <si>
    <t>3.2.1.</t>
  </si>
  <si>
    <t>Наименование муниципальной программы, подпрограммы, мероприятия подпрограммы, отдельного мероприятия</t>
  </si>
  <si>
    <t>Источники ресурсного обеспечения</t>
  </si>
  <si>
    <t xml:space="preserve">Отдел дорожного хозяйства и транспорта администрации 
Партизанского муниципального района 
(далее - отдел дорожного хозяйства и транспорта АПМР)
</t>
  </si>
  <si>
    <t>Отдел дорожного хозяйства и транспорта АПМР</t>
  </si>
  <si>
    <t xml:space="preserve">Ремонт автомобильных дорог общего пользования местного значения на территории Партизанского муниципального  района, всего, в том числе: </t>
  </si>
  <si>
    <t>3.2.1.1.</t>
  </si>
  <si>
    <t>3.2.1.2.</t>
  </si>
  <si>
    <t>3.2.1.3.</t>
  </si>
  <si>
    <t>Ремонт автомобильных дорог и искусственных дорожных сооружений в границах Екатериновского сельского поселения, всего</t>
  </si>
  <si>
    <t>Ремонт автомобильных дорог и искусственных дорожных сооружений в границах Владимиро-Александровского сельского поселения, всего</t>
  </si>
  <si>
    <t>3.2.2.</t>
  </si>
  <si>
    <t>3.2.2.2.</t>
  </si>
  <si>
    <t>3.2.2.4.</t>
  </si>
  <si>
    <t>3.2.3.</t>
  </si>
  <si>
    <t>3.2.3.1</t>
  </si>
  <si>
    <t>3.2.4.</t>
  </si>
  <si>
    <t>3.2.4.1.</t>
  </si>
  <si>
    <t>Ремонт автомобильных дорог и искусственных дорожных сооружений в границах  Золотодолинского сельского поселения, всего</t>
  </si>
  <si>
    <t>Ремонт автомобильных дорог и искусственных дорожных сооружений в границах Сергеевского сельского поселения, всего</t>
  </si>
  <si>
    <t>3.2.5.</t>
  </si>
  <si>
    <t>3.2.6.</t>
  </si>
  <si>
    <t>3.2.1.4.</t>
  </si>
  <si>
    <t>3.2.1.5.</t>
  </si>
  <si>
    <t>3.4.</t>
  </si>
  <si>
    <t>Содержание автомобильных дорог общего пользования местного значения, элементов их обустройства и искусственных дорожных сооружений на территории Партизанского муниципального района, всего, в том числе</t>
  </si>
  <si>
    <t>3.4.1.</t>
  </si>
  <si>
    <t>Содержание автомобильных дорог в границах Владимиро-Александровского сельского поселения, всего, в том числе:</t>
  </si>
  <si>
    <t>3.4.1.1.</t>
  </si>
  <si>
    <t>3.4.1.2.</t>
  </si>
  <si>
    <t>Содержание автомобильных дорог в границах Екатериновского сельского поселения, всего, в том числе:</t>
  </si>
  <si>
    <t>3.4.2.</t>
  </si>
  <si>
    <t>3.4.3.</t>
  </si>
  <si>
    <t>3.4.2.1.</t>
  </si>
  <si>
    <t>3.4.2.2.</t>
  </si>
  <si>
    <t>3.4.3.1.</t>
  </si>
  <si>
    <t>3.4.3.2.</t>
  </si>
  <si>
    <t>Содержание автомобильных дорог в границах Новицкого  сельского поселения, всего, в том числе:</t>
  </si>
  <si>
    <t>3.4.4.</t>
  </si>
  <si>
    <t>3.4.4.1.</t>
  </si>
  <si>
    <t>Содержание автомобильных дорог в границах Золотодолинского  сельского поселения, всего, в том числе:</t>
  </si>
  <si>
    <t>3.4.5.</t>
  </si>
  <si>
    <t>Содержание автомобильных дорог в границах Сергеевского сельского поселения, всего, в том числе:</t>
  </si>
  <si>
    <t>3.4.5.1.</t>
  </si>
  <si>
    <t>3.4.5.2.</t>
  </si>
  <si>
    <t>3.4.6.</t>
  </si>
  <si>
    <t>3.4.6.1.</t>
  </si>
  <si>
    <t>3.4.6.2.</t>
  </si>
  <si>
    <t>Содержание автомобильных дорог в границах Новолитовского сельского поселения, всего, в том числе:</t>
  </si>
  <si>
    <t xml:space="preserve">Содержание автомобильных дорог на межселенной территории Партизанского муниципального района, всего, в том числе: </t>
  </si>
  <si>
    <t>3.4.7.1.</t>
  </si>
  <si>
    <t>3.4.7.2.</t>
  </si>
  <si>
    <t>3.4.8.</t>
  </si>
  <si>
    <t>Резерв средств на мероприятия в области  содержания автомобильных дорог,  искусственных дорожных сооружений на территории Партизанского муниципального района</t>
  </si>
  <si>
    <t>4.</t>
  </si>
  <si>
    <t>4.1.</t>
  </si>
  <si>
    <t>4.1.1.</t>
  </si>
  <si>
    <t>Содержание элементов обустройства автомобильных дорог общего пользования местного значения на территории Партизанского муниципального района для обеспечения безопасных условий движения</t>
  </si>
  <si>
    <t>4.1.1.1.</t>
  </si>
  <si>
    <t>4.1.1.2.</t>
  </si>
  <si>
    <t>4.1.1.3.</t>
  </si>
  <si>
    <t>4.1.1.4.</t>
  </si>
  <si>
    <t>4.1.1.5.</t>
  </si>
  <si>
    <t>Мероприятия по безопасности дорожного движения                         в границах Владимиро-Александровского сельского поселения, всего, в том числе:</t>
  </si>
  <si>
    <t>4.1.2.</t>
  </si>
  <si>
    <t>4.1.2.1.</t>
  </si>
  <si>
    <t>4.1.2.2.</t>
  </si>
  <si>
    <t>Мероприятия по безопасности дорожного движения                  в  границах Екатериновского сельского поселения,  всего, в том числе:</t>
  </si>
  <si>
    <t>4.1.2.2.1</t>
  </si>
  <si>
    <t>4.1.2.3.</t>
  </si>
  <si>
    <t>Мероприятия по безопасности дорожного движения                  в границах Новицкого сельского поселения, всего</t>
  </si>
  <si>
    <t>4.1.2.4.</t>
  </si>
  <si>
    <t>Мероприятия по безопасности дорожного движения                  в границах Золотодолинского сельского поселения, всего</t>
  </si>
  <si>
    <t>Мероприятия по безопасности дорожного движения                   в границах Сергеевского сельского поселения, всего</t>
  </si>
  <si>
    <t>4.1.2.5.</t>
  </si>
  <si>
    <t>4.1.2.6.</t>
  </si>
  <si>
    <t>Мероприятия по безопасности дорожного движения                    на межселенной территории Партизанского муниципального района, всего</t>
  </si>
  <si>
    <t>4.1.2.5.1.</t>
  </si>
  <si>
    <t>4.1.2.7.</t>
  </si>
  <si>
    <t>Резерв средств на мероприятия по повышению безопасности дорожного движения на автомобильных дорогах местного значения в границах Партизанского муниципального района, всего</t>
  </si>
  <si>
    <t>Мероприятия по безопасности дорожного движения                   в границах Новолитовского сельского поселения, всего</t>
  </si>
  <si>
    <t xml:space="preserve">Зимнее содержание  автомобильных дорог в границах  Золотодолинского  сельского поселения Партизанского  муниципального района </t>
  </si>
  <si>
    <t>4.1.3.</t>
  </si>
  <si>
    <t>3.2.2.1.</t>
  </si>
  <si>
    <t>3.2.4.3.</t>
  </si>
  <si>
    <t>Ремонт автомобильных дорог и искусственных дорожных сооружений в границах  Новолитовского сельского поселения, всего</t>
  </si>
  <si>
    <t>4.1.1.4.2.</t>
  </si>
  <si>
    <t xml:space="preserve">Зимнее содержание  автомобильных дорог в границах Екатериновского сельского поселения Партизанского  муниципального района </t>
  </si>
  <si>
    <t xml:space="preserve">Зимнее содержание  автомобильных дорог в границах  Новолитовского сельского поселения Партизанского  муниципального района </t>
  </si>
  <si>
    <t xml:space="preserve">Зимнее содержание автомобильных дорог на межселенной территории  Партизанского муниципального района </t>
  </si>
  <si>
    <t xml:space="preserve">                                                                                                                                                      Отдел дорожного хозяйства и транспорта АПМР</t>
  </si>
  <si>
    <t>Проектирование и строительство подъездных автомобильных  дорог, проездов к земельным участкам, предоставленным (предоставляемым) на бесплатной основе  гражданам, имеющим трех и более детей, всего</t>
  </si>
  <si>
    <t>3.1.1.</t>
  </si>
  <si>
    <t>3.1.1.1.</t>
  </si>
  <si>
    <t>3.1.1.2.</t>
  </si>
  <si>
    <t>3.4.1.3.</t>
  </si>
  <si>
    <t>Летнее содержание автомобильных дорог с асфальтобетонным типом покрытия в границах Екатериновского сельского поселения Партизанского  муниципального района</t>
  </si>
  <si>
    <t>Летнее содержание автомобильных дорог с асфальтобетонным типом покрытия в границах Новицкого сельского поселения Партизанского  муниципального района</t>
  </si>
  <si>
    <t>3.4.4.2</t>
  </si>
  <si>
    <t>Летнее содержание автомобильных дорог с асфальтобетонным типом покрытия в границах Золотодолинского сельского поселения Партизанского  муниципального района</t>
  </si>
  <si>
    <t>Летнее содержание автомобильных дорог с асфальтобетонным типом покрытия в границах Новолитовского сельского поселения Партизанского  муниципального района</t>
  </si>
  <si>
    <t xml:space="preserve">   </t>
  </si>
  <si>
    <t xml:space="preserve">Зимнее содержание автомобильных дорог в границах Владимиро-Александровского сельского поселения Партизанского  муниципального района </t>
  </si>
  <si>
    <t>4.1.1.6.</t>
  </si>
  <si>
    <t>Резерв средств на мероприятия в области  безопасности дорожного движения  на территории Партизанского муниципального района</t>
  </si>
  <si>
    <t>3.4.2.3.</t>
  </si>
  <si>
    <t>3.4.6.3.</t>
  </si>
  <si>
    <t>Выполнение работ по осуществлению регулярных пассажирских перевозок автомобильным транспортом по регулируемым тарифам на муниципальных маршрутах Партизанского муниципального района</t>
  </si>
  <si>
    <t>3.4.3.3.</t>
  </si>
  <si>
    <t>3.4.5.3.</t>
  </si>
  <si>
    <t>3.2.2.3.</t>
  </si>
  <si>
    <t xml:space="preserve">Зимнее содержание автомобильных дорог в границах Новицкого сельского поселения Партизанского  муниципального района </t>
  </si>
  <si>
    <t>Проектирование и строительство подъездных автомобильных дорог, всего</t>
  </si>
  <si>
    <t xml:space="preserve">Осуществление регулярных пассажирских перевозок автомобильным транспортом по нерегулируемым тарифам на муниципальных  маршрутах
Партизанского муниципального
</t>
  </si>
  <si>
    <t>Проектирование подъездных автомобильных  дорог, проездов к земельным участкам, предоставленным (предоставляемым) на бесплатной основе гражданам, имеющим трех и более детей в границах с.Владимиро-Александровское, восточнее ул.Цветочная,д.9, на восток, северо-восток, юго-восток ул.Нагорная, д.16 общей протяженностью 3,22 км</t>
  </si>
  <si>
    <t>Отдел капитального строительства АПМР</t>
  </si>
  <si>
    <t>3.2.5.4.</t>
  </si>
  <si>
    <t>Отдел капитального строительства администрации Партизанского муниципального района (далее - отдел капитального строительства АПМР)</t>
  </si>
  <si>
    <t xml:space="preserve">Зимнее содержание  автомобильных дорог в границах  Сергеевского сельского поселения Партизанского  муниципального района </t>
  </si>
  <si>
    <t>3.2.6.1</t>
  </si>
  <si>
    <t>3.2.4.2.</t>
  </si>
  <si>
    <t xml:space="preserve">Проектирование подъездных автомобильных  дорог, проездов к земельным участкам предоставленным (предоставляемым) на бесплатной основе гражданам, имеющим трех и более детей  в границах с.Перетино, в северо-западном направлении по ул.Черняховского, д.23, в юго-восточном  направлении по ул.Кости Рослого, д.16 общей протяженностью 2,086 км   </t>
  </si>
  <si>
    <t>Профилирование автомобильных дорог с грунтовым типом покрытия, а также  скашивание травы и уборка мусора на обочинах, откосах земляного полотна автомобильных дорог в границах Владимиро-Александровского сельского поселения Партизанского муниципального района</t>
  </si>
  <si>
    <t>Профилирование автомобильных дорог с грунтовым типом покрытия, а также  скашивание травы и уборка мусора на обочинах, откосах земляного полотна автомобильных дорог в границах Сергеевского сельского поселения Партизанского муниципального района</t>
  </si>
  <si>
    <t xml:space="preserve">Летнее содержание автомобильных дорог с грунтовым типом покрытия на межселенной территории  Партизанского  муниципального района </t>
  </si>
  <si>
    <t>Профилирование автомобильных дорог с грунтовым типом покрытия, а также  скашивание травы и уборка мусора на обочинах, откосах земляного полотна автомобильных дорог в границах Екатериновского сельского поселения Партизанского муниципального района</t>
  </si>
  <si>
    <t>Профилирование автомобильных дорог с грунтовым типом покрытия, а также  скашивание травы и уборка мусора на обочинах, откосах земляного полотна автомобильных дорог в границах Новицкого сельского поселения Партизанского муниципального района</t>
  </si>
  <si>
    <t>3.4.4.3.</t>
  </si>
  <si>
    <t>Профилирование автомобильных дорог с грунтовым типом покрытия, а также  скашивание травы и уборка мусора на обочинах, откосах земляного полотна автомобильных дорог в границах Золотодолинского  сельского поселения Партизанского муниципального района</t>
  </si>
  <si>
    <t>Профилирование автомобильных дорог с грунтовым типом покрытия, а также  скашивание травы и уборка мусора на обочинах, откосах земляного полотна автомобильных дорог в границах Новолитовского  сельского поселения Партизанского муниципального района</t>
  </si>
  <si>
    <t>Работы по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Новолитовского сельского поселения</t>
  </si>
  <si>
    <t>3.2.6.2</t>
  </si>
  <si>
    <t>Работы по 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Владимиро-Александровского сельского поселения</t>
  </si>
  <si>
    <t>Работы по 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Сергеевского сельского поселения</t>
  </si>
  <si>
    <t>Выполнение работ по 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Новицкого сельского поселения</t>
  </si>
  <si>
    <t>Выполнение работ по 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Золотодолинского сельского поселения</t>
  </si>
  <si>
    <t>4.1.2.4.1</t>
  </si>
  <si>
    <t>4.1.2.3.1</t>
  </si>
  <si>
    <t>4.1.2.1.1.</t>
  </si>
  <si>
    <t>3.4.7.</t>
  </si>
  <si>
    <t xml:space="preserve">Ресурсное обеспечение мероприятий муниципальной программы «Развитие транспортного комплекса
Партизанского муниципального района» на 2021-2025 годы из различных источников 
</t>
  </si>
  <si>
    <t>2021г.</t>
  </si>
  <si>
    <t>2022г.</t>
  </si>
  <si>
    <t>2023г.</t>
  </si>
  <si>
    <t>2024г.</t>
  </si>
  <si>
    <t>2025г.</t>
  </si>
  <si>
    <t>Муниципальная программа «Развитие транспортного комплекса Партизанского муниципального района» на 2021-2025 годы</t>
  </si>
  <si>
    <t>8</t>
  </si>
  <si>
    <t>9</t>
  </si>
  <si>
    <t>Ремонт участка внутрипоселковой дороги по ул.Гастелло от пересечения с краевой автодорогой «Владивосток –Находка- порт Восточный» до пересечения с ул.Черняховского в районе дома  №44 в с.Новолитовск протяженностью 790 м</t>
  </si>
  <si>
    <t>Ремонт участка внутрипоселковой дороги  по ул.Юбилейная  от дома №1а  до дома №2а по ул.70 лет Октября в с.Владимиро-Александровское протяженностью 165 м</t>
  </si>
  <si>
    <t>Ремонт внутрипоселковой дороги по пер.Ватутина в с.Владимиро-Александровское протяженностью 365 м</t>
  </si>
  <si>
    <t>Ремонт внутрипоселковой дороги по ул.Молодежная в с.Владимиро-Александровское протяженностью 225 м</t>
  </si>
  <si>
    <t>Ремонт участка внутрипоселковой дороги  от д.№8  по пер.Ватутина  до д. №1 по ул.2-я Лесная,  а также  от д.№1 до д.№11 по ул.2-я Лесная  в с.Владимиро-Александровское общей протяженностью  400 м</t>
  </si>
  <si>
    <t>Ремонт  участка внутрипоселковой  дороги   по ул.Заводская от дома  №5 до дома №13/2, а также от пересечения с ул.2-я Лесная до дома №3а в с.Владимиро -Александровское общей протяженностью 390 м</t>
  </si>
  <si>
    <t xml:space="preserve">Ремонт внутрипоселковой дороги по ул.Строительная в с.Екатериновка протяженностью 300м </t>
  </si>
  <si>
    <t>Ремонт автомобильных дорог и искусственных дорожных сооружений в границах  Новицкого сельского поселения, всего</t>
  </si>
  <si>
    <t>Ремонт внутрипоселковой дороги  по пер.Почтовый в с.Золотая Долина протяженностью 400 м</t>
  </si>
  <si>
    <t>3.2.4.4.</t>
  </si>
  <si>
    <t>Ремонт внутрипоселковой дороги по ул.Гагарина в с.Перетино протяженностью  400м</t>
  </si>
  <si>
    <t>Ремонт внутрипоселковой дороги  по ул.Лазо в с.Сергеевка  протяженностью 700м</t>
  </si>
  <si>
    <t>Ремонт участка внутрипоселковой дороги по ул.Шоссейная в с.Сергеевка  протяженностью 800м</t>
  </si>
  <si>
    <t>Ремонт участка внутрипоселковой дороги  по ул.Гастелло до пересечения с ул.Черняховского в с.Новолитовск протяженностью 400м</t>
  </si>
  <si>
    <t>3.2.3.4.</t>
  </si>
  <si>
    <t xml:space="preserve">Ремонт участка внутрипоселковой дороги по
ул. Солоненко в с.Фроловка протяженностью 350 м
</t>
  </si>
  <si>
    <t>Ремонт участка внутрипоселковой дороги по ул.Юбилейная в с.Новицкое  протяженностью 262 м</t>
  </si>
  <si>
    <t>Ремонт внутрипоселковой дороги по ул.Нагорная в с.Новицкое протяженностью 502 м</t>
  </si>
  <si>
    <t>\</t>
  </si>
  <si>
    <t>4.1.1.1.1.</t>
  </si>
  <si>
    <t>4.1.1.1.2.</t>
  </si>
  <si>
    <t>4.1.1.2.1.</t>
  </si>
  <si>
    <t>4.1.1.3.1.</t>
  </si>
  <si>
    <t>4.1.1.4.1.</t>
  </si>
  <si>
    <t>4.1.1.5.1.</t>
  </si>
  <si>
    <t>3.2.1.6.</t>
  </si>
  <si>
    <t>3.2.1.8.</t>
  </si>
  <si>
    <t>3.2.5.2.</t>
  </si>
  <si>
    <t>3.2.5.5.</t>
  </si>
  <si>
    <t xml:space="preserve">Ремонт моста из железобетонных плит на внутрипоселковой дороге по ул.Ручейная, 1-а в с.Сергеевка </t>
  </si>
  <si>
    <t>3.2.2.5.</t>
  </si>
  <si>
    <t>4.1.2.5.2.</t>
  </si>
  <si>
    <t>4.1.1.6.1.</t>
  </si>
  <si>
    <t>4.1.2.6.1.</t>
  </si>
  <si>
    <t>4.1.2.6.2.</t>
  </si>
  <si>
    <t>Обустройство автопавильона  комплексом автономного освещения по школьныму маршруту движения на внутрипоселковой дороге по ул.Центральная в пос.Волчанец</t>
  </si>
  <si>
    <t>Установка автопавильона по школьному маршруту движения на внутрипоселковой дороге по ул.Озерная в пос.Волчанец</t>
  </si>
  <si>
    <t>районный бюджет (софинансирование)</t>
  </si>
  <si>
    <t xml:space="preserve">районный бюджет </t>
  </si>
  <si>
    <t>Ремонт моста железобетонного, расположенного по ул.Центральная в районе дома №40/2 в с.Молчановка</t>
  </si>
  <si>
    <t>Ремонт моста деревянного  по ул.Центральная (около дома 1) в пос.Романовский Ключ</t>
  </si>
  <si>
    <t>3.2.5.3.</t>
  </si>
  <si>
    <t>3.2.5.7.</t>
  </si>
  <si>
    <t>3.2.5.8.</t>
  </si>
  <si>
    <t>Ремонт  внутрипоселковой дороги с укладкой водоотводной трубы по ул.Нижняя  в пос.Слинкино (в районе въезда в поселок)</t>
  </si>
  <si>
    <t xml:space="preserve">Ремонт участка внутрипоселковой дороги по
 ул.Спортивная в с.Золотая Долина протяженностью 300 м
</t>
  </si>
  <si>
    <t>Ремонт железобетонного моста  по ул.Центральная (в районе дома №154) в с.Золотая Долина</t>
  </si>
  <si>
    <t>3.2.4.5.</t>
  </si>
  <si>
    <t>3.2.4.6.</t>
  </si>
  <si>
    <t xml:space="preserve">Ремонт моста из железобетонных плит на внутрипоселковой дороге по ул.Луговая (в районе дома 12) в с.Сергеевка </t>
  </si>
  <si>
    <t>3.2.5.9.</t>
  </si>
  <si>
    <t>Ремонт внутрипоселковой дороги по ул.60 лет СССР     в с.Голубовка протяженностью 500 м</t>
  </si>
  <si>
    <t>3.2.5.6.</t>
  </si>
  <si>
    <t>3.2.5.10.</t>
  </si>
  <si>
    <t>Ремонт моста из жлезобетонных плит  по ул.Путейская (напротив дома 8) в с.Сергеевка</t>
  </si>
  <si>
    <t xml:space="preserve">Ремонт пешеходного мостика по ул.Комсомольская (рядом с домом 113), моста  по ул.Комсомольская (рядом  с домом 103), моста по ул.Партизанская (рядом с домом 96) в с.Владимиро-Александровсккое </t>
  </si>
  <si>
    <t>Ремонт моста пешеходного по ул.Гагарина (рядом с домо 9) в с.Екатериновка, в также мостов в с.Голубовка</t>
  </si>
  <si>
    <t>3.2.4.7.</t>
  </si>
  <si>
    <t>Ремонт внутрипоселковой дороги  по ул.70 лет Октября от дома №4/1 до дома №4а, от дома №8/1 до дома №8а</t>
  </si>
  <si>
    <t>3.2.6.3</t>
  </si>
  <si>
    <t>3.2.5.11.</t>
  </si>
  <si>
    <t>Ремонт внутрипоселковой дороги с укладкой  переходных плит  по ул.Садовая в районе дома №55  в дер.Кирилловка</t>
  </si>
  <si>
    <t>районный бюджет (с учетом софинансирования)</t>
  </si>
  <si>
    <t>3.2.1.9.</t>
  </si>
  <si>
    <t>4.1.2.2.2</t>
  </si>
  <si>
    <t>Установка автопавильона с комплексом автономного освещения по школьному маршруту движения на пересечении внутрипоселковых дорог по ул.Фабричная и и ул.Космическая  в с.Екатериновка</t>
  </si>
  <si>
    <t xml:space="preserve"> </t>
  </si>
  <si>
    <t>Установка автопавильона с комплексом автономного освещения по школьному маршруту движения на внутрипоселковых дорогах  по ул.Совхозная, ул.Советская, ул. Беляева в пос.Николаевка</t>
  </si>
  <si>
    <t>Установка автопавильона с комплексом автономного освещения по школьному маршруту движения на пересечении внутрипоселковых дорог по ул.Новая  и ул.Космическая  в с.Екатериновка,  а также по ул. Первомайская в пос.Боец Кузнецов</t>
  </si>
  <si>
    <t>4.1.2.6.3.</t>
  </si>
  <si>
    <t>Ремонт внутрипоселковой дороги  по ул.Маяковского в с.Сергеевка протяженностью 600м</t>
  </si>
  <si>
    <t xml:space="preserve">Ремонт мостов №№1,2,3 на внутрипоселковой дороге к летному гарнизону в с.Золотая Долина
</t>
  </si>
  <si>
    <t>Установка автопавильона по школьному маршруту движения на внутрипоселковой дороге по ул.Центральная в пос.Волчанец</t>
  </si>
  <si>
    <t>Установка автопавильона с комплексом автономного освещения по школьному маршруту движения на внутрипоселковых дорогах по ул.60 лет СССР,  ул.Юбилейная  в с.Владимиро-Александровское</t>
  </si>
  <si>
    <t>Установка автопавильона с комплексом автономного освещения по школьному маршруту движения на внутрипоселковой дороге по ул.Центральная в с.Золотая Долина</t>
  </si>
  <si>
    <t>Обустройство пешеходных переходов (установка светофоров Т7, установка   дорожных знаков, нанесение горизонтальной дорожной разметки)  на внутрипоселковых  дорогах в пос.Волчанец</t>
  </si>
  <si>
    <t>Установка автопавильонов с комплексом автономного освещения по школьным маршрутам движения на внутрипоселковых дорогах по ул. 50 лет ВЛКСМ в с.Южная Сергеевка, а также по улицам Ручейная,  ул.Украинская в с.Сергеевка</t>
  </si>
  <si>
    <t>Установка автопавильона с комплексом автономного освещения по школьным маршрутам движения на внутрипоселковой дороге по ул.Островная в с.Сергеевка</t>
  </si>
  <si>
    <t>Ремонт участка внутрипоселковой дороги по ул. Лазо от пересечения с пер.Ватутина до дома №2 в с.Владимиро-Александровское протяженностью 330м</t>
  </si>
  <si>
    <t>а</t>
  </si>
  <si>
    <t>Ремонт участка внутрипоселковой дороги по ул. Транспортная от пересечения с ул.Советская до дома №10/2 в с.Екатериновка протяженностью  700 м</t>
  </si>
  <si>
    <t>3.2.3.3.</t>
  </si>
  <si>
    <t>Ремонт участка внутрипоселковой дороги по ул.Советская от пересечения с автодорогой "Находка-Лазо-Ольга -Кавалерово" до дома №42 в пос Николаевка протяженностью 730 м</t>
  </si>
  <si>
    <t>3.2.5.1</t>
  </si>
  <si>
    <t>3.2.5.12.</t>
  </si>
  <si>
    <t>Ремонт участка внутрипоселковой дороги по ул.Ручейная от пересечения с автодорогой "Находка-Лазо-Ольга-Кавалерово" до дома №1а   в  с.Сергеевка протяженностью 880 м</t>
  </si>
  <si>
    <t>Ремонт участка  внутрипоселковой дороги    по  ул.Шоссейная от дома №22/2 до пересечения с ул.Шевченко в с.Сергеевка протяженностью 310м</t>
  </si>
  <si>
    <t>3.2.1.7.</t>
  </si>
  <si>
    <t>3.2.1.10.</t>
  </si>
  <si>
    <t>3.2.1.11.</t>
  </si>
  <si>
    <t xml:space="preserve">Ремонт участка внутрипоселковой дороги по   
ул. Строителей от дома №1 до дома №11 в с.Владимиро- Александровское протяженностью 200м
</t>
  </si>
  <si>
    <t>Ремонт  участка внутрипоселковой дороги по ул.Комсомольская в районе дома №24а  с.Владимиро- Александровское протяженностью 110 м</t>
  </si>
  <si>
    <t>Ремонт участка внутрипоселковой дороги по ул.Садовая от пересечения с ул.40 лет Победы до пересечения с дорогой на кладбище  в с.Хмыловка протяженностью 650 м</t>
  </si>
  <si>
    <t>Подпрограмма 3 "Повышение безопасности дорожного движения в Партизанском муниципальном районе" на 2021 -2025 годы</t>
  </si>
  <si>
    <t>Подпрограмма 1 «Развитие транспортного комплекса в Партизанском муниципальном районе" на 2021-2025 годы,  всего</t>
  </si>
  <si>
    <t>Подпрограмма 2 «Развитие дорожной отрасли в Партизанском муниципальном районе" на 2021-2025 годы, всего</t>
  </si>
  <si>
    <t>4.1.1.1.3.</t>
  </si>
  <si>
    <t>Обустройство пешеходных переходов  (установка (замена)  знаков дорожных, нанесение  горизонтальной дорожной разметки) на внутрипоселковых дорогах в селах Владимиро-Александровское, Хмыловка  (по муниципальному контракту №289 от  24.08.2020)</t>
  </si>
  <si>
    <t>3.4.4.4.</t>
  </si>
  <si>
    <t>Выполнение работ по 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Золотодолинского сельского поселения (по муниципальному контракту от 21.07.2020 №277)</t>
  </si>
  <si>
    <t>3.4.3.4.</t>
  </si>
  <si>
    <t>Выполнение работ по 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Новицкого сельского поселения (по муниципальному контракту от 21.07.2020 №276)</t>
  </si>
  <si>
    <t>Отдел дорожного хозяйства и транспорта АПМ</t>
  </si>
  <si>
    <t>Установка знаков дорожных приоритета на пересечениях  дорог в с.Владимиро-Александровское, обустройство участков повышенной опасности (установка знаков дорожных, нанесение горизонтальной дорожной разметки)  на внутрипоселковых дорогах  по ул. Кости Рослого, ул.Лазо в с.Владимиро-Александровское (по муниципальному контракту №289 от  24.08.2020)</t>
  </si>
  <si>
    <t>4.1.1.2.2.</t>
  </si>
  <si>
    <t>Обустройство пешеходных переходов  (установка (замена)  знаков дорожных, нанесение  горизонтальной дорожной разметки) на внутрипоселковых дорогах в селах Екатериновка, Голубовка (по муниципальному контракту №281 от 11.08.20)</t>
  </si>
  <si>
    <t>4.1.1.4.3.</t>
  </si>
  <si>
    <t>Обустройство пешеходных переходов (установка  (замена) дорожных знаков, нанесение горизонтальной дорожной разметки)  на внутрипоселковых  дорогах в селах Сергеевка, Молчановка (по муниципальному контракту №290  от 01.09.2020)</t>
  </si>
  <si>
    <t>4.1.1.5.2.</t>
  </si>
  <si>
    <t>Обустройство пешеходных переходов (установка (замена) знаков дорожных, нанесение горизонтальной дорожной разметки) на внутрипоселковых  дорогах в селах Новицкое, Фроловка (по муниципальному контракту  №280 от 27.07.20)</t>
  </si>
  <si>
    <t>Установка знаков дорожных приоритета и запрещающих на внутрипоселковых дорогах в селах Екатериновка, Голубовка (по муниципальному контракту №281  от 11.08.2020)</t>
  </si>
  <si>
    <t>4.1.1.3.2.</t>
  </si>
  <si>
    <t>Обустройство пешеходных переходов (установка (замена) знаков дорожных, нанесение горизонтальной дорожной разметки) на внутрипоселковых  дорогах в селах Золотая Долина, Перетино  (по муниципальному контракту №279 от 27.07.2020)</t>
  </si>
  <si>
    <t>Установка (замена) знаков дорожных приоритета на внутрипоселковых  дорогах в селах Золотая Долина, Перетино (по муниципальному контракту  №279 от 27.07.2020)</t>
  </si>
  <si>
    <t>Установка  знаков  дорожных приоритета на пересечениях дорог  на внутрипоселковых  дорогах в с.Сергеевка (по муниципальному контракту  №290 от 01.09.2020)</t>
  </si>
  <si>
    <t xml:space="preserve"> Установка  знаков дорожных приоритета и запрещающих на внутрипоселковых  дорогах в селах Новицкое, Фроловка (по муниципальному контракту  №280 от 27.07.2020)</t>
  </si>
  <si>
    <t>Восстановление тротуара  по  ул.Комсомольская от д.24а  от д.42 с.Владимиро-Александровское</t>
  </si>
  <si>
    <t>Восстановление тротуара  по  ул.Комсомольская от д.48  от д.64 с.Владимиро-Александровское</t>
  </si>
  <si>
    <t>Мероприятия по реализации проектов инициативного бюджетирования по направлению "Твой проект"</t>
  </si>
  <si>
    <t>3.5.</t>
  </si>
  <si>
    <t>3.5.1.</t>
  </si>
  <si>
    <t>3.5.2.</t>
  </si>
  <si>
    <t>Ремонт автомобильных дорог (восстановление водоотводных кюветов и  водопропускных лотков  системы  ливневой  канализации, водопропускных труб) в границах Золотодолинского сельского поселения Партизанского муниципального района</t>
  </si>
  <si>
    <t>3.4.5.4.</t>
  </si>
  <si>
    <t>Работы по  устранению деформаций и повреждений, восстановлению изношенных верхних слоев асфальтобетонного покрытия на отдельных участках внутрипоселковых  дорог Екатериновского сельского поселения</t>
  </si>
  <si>
    <t>Ремонт внутрипоселковой дороги по ул.Гагарина в районе дома №10 в с.Владимиро -Александровское с восстановлением искусственного дорожного сооружения (водопропускного лотка)</t>
  </si>
  <si>
    <t>3.2.1.12.</t>
  </si>
  <si>
    <t>Ремонт  железобетонного моста по ул.Новая, рядом с домом 2 в с.Екатериновка</t>
  </si>
  <si>
    <t>3.2.7.</t>
  </si>
  <si>
    <t>Работы по восстановлению пешеходных бордюр из бортового камня на тротуаре по ул.Комсомольская в районе д.64, а также в районе моста рядом с д. 103/2</t>
  </si>
  <si>
    <t>3.3.</t>
  </si>
  <si>
    <t>Восстановление функционирования автомобильных дорог местного значения  на межселенной территории. Ликвидация последствий стихийных бедствий и других чрезвычайных происшествий, всего</t>
  </si>
  <si>
    <t>Ремонт  мостов по ул.2-я Рабочая, ул.Ручейная, ул.Путейская, ул. Пушкинская в с.Сергеевка</t>
  </si>
  <si>
    <t>Резерв средств на мероприятия в области  ремонта автомобильных дорог,  искусственных дорожных сооружений на территории Партизанского муниципального района</t>
  </si>
  <si>
    <t>Обустройство пешеходных переходов (установка (замена) знаков дорожных, нанесение дорожной разметки) на внутрипоселковых  дорогах в границах  Золотодолинского сельского поселения</t>
  </si>
  <si>
    <t>4.1.1.1.4.</t>
  </si>
  <si>
    <t>3.4.1.4.</t>
  </si>
  <si>
    <t>4.1.1.4.4.</t>
  </si>
  <si>
    <t xml:space="preserve">Обустройство пешеходных переходов (установка (замена) знаков дорожных, нанесение дорожной разметки),  установка (замена) знаков дорожных приоритета на внутрипоселковых дорогах в границах Новицкого сельского поселения </t>
  </si>
  <si>
    <t>4.1.1.3.3.</t>
  </si>
  <si>
    <t>4.1.1.3.4.</t>
  </si>
  <si>
    <t>Обустройство пешеходных переходов (установка (замена) знаков дорожных, нанесение дорожной разметки), установка (замена) знаков дорожных  на внутрипоселковых  дорогах в границах  Золотодолинского сельского поселения</t>
  </si>
  <si>
    <t>4.1.1.2.3.</t>
  </si>
  <si>
    <t>Обустройство пешеходных переходов  (нанесение дорожной разметки) на внутрипоселковых дорогах
 в границах  Екатериновского сельского поселения</t>
  </si>
  <si>
    <t>4.1.1.2.4.</t>
  </si>
  <si>
    <t xml:space="preserve">Обустройство пешеходных переходов (установка (замена) знаков дорожных, нанесение дорожной разметки),  установка знаков дорожных приоритета и особых предписаний  на внутрипоселковых  дорогах в границах  Сергеевского сельского поселения
</t>
  </si>
  <si>
    <t xml:space="preserve">Обустройство пешеходных переходов (установка (замена) знаков дорожных, нанесение дорожной разметки), установка знаков дорожных приоритета и особых предписаний  на внутрипоселковых  дорогах в границах  Екатериновского сельского поселения
</t>
  </si>
  <si>
    <t xml:space="preserve">Мероприятия по обустройству пешеходных переходов, установке дорожных знаков, нанесению дорожной разметки  на внутрипоселковых дорогах в границах Владимиро-Александровского сельского поселения, всего, в том числе: </t>
  </si>
  <si>
    <t xml:space="preserve">Мероприятия по обустройству пешеходных переходов, установке дорожных знаков, нанесению дорожной разметки  на внутрипоселковых дорогах в границах Екатериновского сельского поселения,  всего, в том числе: </t>
  </si>
  <si>
    <t>Мероприятия по обустройству пешеходных переходов, установке дорожных знаков, нанесению дорожной разметки на внутрипоселковых дорогах в границах Золотодолинского сельского поселения, всего, в  том  числе:</t>
  </si>
  <si>
    <t>4.1.1.5.3.</t>
  </si>
  <si>
    <t>Работы по  восстановлению профиля  и прочистке кюветов автомобильных дорог с грунтовым типом покрытия в границах Сергеевского сельского поселения</t>
  </si>
  <si>
    <t>3.2.3.2.</t>
  </si>
  <si>
    <t>3.2.8.</t>
  </si>
  <si>
    <t xml:space="preserve">Резерв средств на софинансирование мероприятий за счет средств субсидий дорожного фонда Приморского края бюджетам муниципальных образований по направлению "ремонт автомобильных дорог общего пользования населенных пунктов" </t>
  </si>
  <si>
    <t>Работы по прочистке кюветов  внутрипоселковой  дороги  по  ул. Комсомольская  от  пересечения  с  ул.Рихарда Зорге в с.Владимиро-Александровское общей протяженностью 230м</t>
  </si>
  <si>
    <t>3.2.2.6.</t>
  </si>
  <si>
    <t>Ремонт участка внутрипоселковой дороги по ул.Комсомольская от пересечения с ул.Партизанская до дома №44  в с.Екатериновка протяженностью 1280м</t>
  </si>
  <si>
    <t>2.3.</t>
  </si>
  <si>
    <t>Расходы, связанные с исполнением решений, принятых судебными органами  по организации транспортного обслуживания населения между наседенными пунктами с.Новолитовск-  д.Кирилловка- д.Васильевка Партизанского муниципального района</t>
  </si>
  <si>
    <t>Адресная программа обустройства пешеходных  переходов, установки дорожных знаков, нанесению дорожной разметки в Партизанском муниципальном районе, всего</t>
  </si>
  <si>
    <t xml:space="preserve">Прочие мероприятия по повышению безопасности  дорожного движения на автомобильных дорогах местного значения в Партизанском муниципальном районе, всего </t>
  </si>
  <si>
    <t>Обустройство пешеходных переходов (установка сфетофоров Т7, установка  (замена) дорожных знаков, нанесение горизонтальной дорожной разметки), установка знаков дорожных  на внутрипоселковых  дорогах в границах Сергеевского сельского поселения</t>
  </si>
  <si>
    <t>Мероприятия по обустройству пешеходных переходов, установке дорожных знаков, нанесению дорожной разметки на внутрипоселковых дорогах  в границах Сергеевского сельского поселения,  всего, в том числе:</t>
  </si>
  <si>
    <t>Мероприятия по обустройству пешеходных переходов, установке дорожных знаков, нанесению дорожной разметки на внутрипоселковых дорогах  в границах Новицкого сельского поселения, всего, в том числе:</t>
  </si>
  <si>
    <t>Мероприятия по обустройству пешеходных переходов, установке дорожных знаков, нанесению дорожной разметки  на внутрипоселковых дорогах  в границах Новолитовского сельского поселения, всего, в  том числе:</t>
  </si>
  <si>
    <t>Обустройство пешеходных переходов (установка светофоров Т7, установка  (замена) дорожных знаков, нанесение горионтальной дорожной разметки), установка  дорожных  знаков на внутрипоселковых  дорогах в границах Владимиро-Александровского сельского поселения</t>
  </si>
  <si>
    <t>Обустройство пешеходных переходов (нанесение дорожной разметки), установка знаков дорожных приоритета, нанесение дорожной разметки на внутрипоселковых дорогах в границах Владимиро-Александровского сельского поселения</t>
  </si>
  <si>
    <t>Примечание:  по п.п. 4.1.1.1.3, 4.1.1.1.4, 4.1.1.2.3, 4.1.1.2.4, 4.1.1.3.3, 4.1.1.3.4, 4.1.1.4.3, 4.1.1.4.4, 4.1.1.5.2, 4.1.1.5.3 указаны мероприятия по контрактам, непрофинансированным  за выполненные работы в 2020г.  в связи со смертью подрядчика</t>
  </si>
  <si>
    <t>Приложение № 2
к постановлению администрации Партизанского 
муниципального района от 30.12.2021 № 1332</t>
  </si>
  <si>
    <t xml:space="preserve">Приложение № 6
к муниципальной программе «Развитие транспортного комплекса Партизанского муниципального района» на 2021-2025 годы, утвержденной постановлением администрации Партизанского муниципального района от 24.09.2020 № 1035 (в редакции от 30.12.2021 № 1332)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</si>
</sst>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000"/>
    <numFmt numFmtId="166" formatCode="0.000000000"/>
  </numFmts>
  <fonts count="23" x14ac:knownFonts="1">
    <font>
      <sz val="10"/>
      <name val="Arial Cyr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2"/>
      <charset val="204"/>
    </font>
    <font>
      <b/>
      <sz val="11"/>
      <name val="Times New Roman"/>
      <family val="2"/>
      <charset val="204"/>
    </font>
    <font>
      <b/>
      <sz val="14"/>
      <name val="Times New Roman"/>
      <family val="2"/>
      <charset val="204"/>
    </font>
    <font>
      <b/>
      <sz val="14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4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1" fillId="0" borderId="0" xfId="0" applyFont="1" applyAlignment="1">
      <alignment horizontal="justify"/>
    </xf>
    <xf numFmtId="0" fontId="18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8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4" fontId="1" fillId="2" borderId="6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22" fillId="2" borderId="12" xfId="0" applyFont="1" applyFill="1" applyBorder="1" applyAlignment="1"/>
    <xf numFmtId="0" fontId="22" fillId="2" borderId="2" xfId="0" applyFont="1" applyFill="1" applyBorder="1" applyAlignment="1"/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15"/>
  <sheetViews>
    <sheetView tabSelected="1" view="pageBreakPreview" zoomScale="88" zoomScaleNormal="90" zoomScaleSheetLayoutView="88" workbookViewId="0">
      <pane ySplit="10" topLeftCell="A285" activePane="bottomLeft" state="frozen"/>
      <selection pane="bottomLeft" activeCell="I8" sqref="I8:I9"/>
    </sheetView>
  </sheetViews>
  <sheetFormatPr defaultRowHeight="15" x14ac:dyDescent="0.2"/>
  <cols>
    <col min="1" max="1" width="11.85546875" style="58" customWidth="1"/>
    <col min="2" max="2" width="55.5703125" style="126" customWidth="1"/>
    <col min="3" max="3" width="5.42578125" style="58" hidden="1" customWidth="1"/>
    <col min="4" max="4" width="6.5703125" style="58" hidden="1" customWidth="1"/>
    <col min="5" max="5" width="9.7109375" style="58" hidden="1" customWidth="1"/>
    <col min="6" max="6" width="6.5703125" style="2" hidden="1" customWidth="1"/>
    <col min="7" max="7" width="0.140625" style="2" customWidth="1"/>
    <col min="8" max="8" width="22.85546875" style="2" customWidth="1"/>
    <col min="9" max="9" width="18.140625" style="2" customWidth="1"/>
    <col min="10" max="10" width="19" style="2" customWidth="1"/>
    <col min="11" max="11" width="18.85546875" style="2" customWidth="1"/>
    <col min="12" max="12" width="20.140625" style="2" customWidth="1"/>
    <col min="13" max="13" width="21.42578125" style="2" customWidth="1"/>
    <col min="14" max="14" width="23.28515625" style="2" customWidth="1"/>
    <col min="15" max="15" width="13.85546875" style="1" hidden="1" customWidth="1"/>
    <col min="16" max="16" width="9.140625" style="1" hidden="1" customWidth="1"/>
    <col min="17" max="18" width="9.140625" style="58" hidden="1" customWidth="1"/>
    <col min="19" max="19" width="9.28515625" style="58" hidden="1" customWidth="1"/>
    <col min="20" max="22" width="9.140625" style="58" hidden="1" customWidth="1"/>
    <col min="23" max="23" width="19.85546875" style="58" customWidth="1"/>
    <col min="24" max="28" width="9.140625" style="58" hidden="1" customWidth="1"/>
    <col min="29" max="29" width="1.5703125" style="58" hidden="1" customWidth="1"/>
    <col min="30" max="30" width="20.85546875" style="58" customWidth="1"/>
    <col min="31" max="31" width="12.140625" style="58" bestFit="1" customWidth="1"/>
    <col min="32" max="32" width="9.140625" style="58"/>
    <col min="33" max="33" width="12.140625" style="58" bestFit="1" customWidth="1"/>
    <col min="34" max="16384" width="9.140625" style="58"/>
  </cols>
  <sheetData>
    <row r="3" spans="1:33" ht="72" customHeight="1" x14ac:dyDescent="0.2">
      <c r="K3" s="188" t="s">
        <v>340</v>
      </c>
      <c r="L3" s="188"/>
      <c r="M3" s="188"/>
      <c r="N3" s="189"/>
    </row>
    <row r="4" spans="1:33" ht="77.25" customHeight="1" x14ac:dyDescent="0.2">
      <c r="K4" s="188" t="s">
        <v>341</v>
      </c>
      <c r="L4" s="188"/>
      <c r="M4" s="188"/>
      <c r="N4" s="189"/>
    </row>
    <row r="5" spans="1:33" ht="14.25" customHeight="1" x14ac:dyDescent="0.2">
      <c r="K5" s="126"/>
      <c r="L5" s="126"/>
      <c r="M5" s="126"/>
      <c r="N5" s="127"/>
    </row>
    <row r="6" spans="1:33" ht="52.5" customHeight="1" x14ac:dyDescent="0.2">
      <c r="A6" s="190" t="s">
        <v>162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33" ht="18" customHeight="1" x14ac:dyDescent="0.2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AG7" s="17"/>
    </row>
    <row r="8" spans="1:33" ht="27" customHeight="1" x14ac:dyDescent="0.2">
      <c r="A8" s="194" t="s">
        <v>11</v>
      </c>
      <c r="B8" s="194" t="s">
        <v>23</v>
      </c>
      <c r="C8" s="197" t="s">
        <v>0</v>
      </c>
      <c r="D8" s="197"/>
      <c r="E8" s="197"/>
      <c r="F8" s="197"/>
      <c r="G8" s="60"/>
      <c r="H8" s="198" t="s">
        <v>24</v>
      </c>
      <c r="I8" s="198" t="s">
        <v>17</v>
      </c>
      <c r="J8" s="198" t="s">
        <v>18</v>
      </c>
      <c r="K8" s="199"/>
      <c r="L8" s="199"/>
      <c r="M8" s="199"/>
      <c r="N8" s="199"/>
      <c r="O8" s="33"/>
      <c r="P8" s="10"/>
      <c r="Q8" s="33"/>
      <c r="R8" s="33"/>
      <c r="S8" s="33"/>
      <c r="T8" s="33"/>
      <c r="U8" s="33"/>
      <c r="V8" s="33"/>
      <c r="W8" s="182" t="s">
        <v>21</v>
      </c>
    </row>
    <row r="9" spans="1:33" ht="42.75" customHeight="1" x14ac:dyDescent="0.2">
      <c r="A9" s="195"/>
      <c r="B9" s="196"/>
      <c r="C9" s="197" t="s">
        <v>1</v>
      </c>
      <c r="D9" s="197"/>
      <c r="E9" s="197"/>
      <c r="F9" s="197"/>
      <c r="G9" s="60"/>
      <c r="H9" s="198"/>
      <c r="I9" s="199"/>
      <c r="J9" s="128" t="s">
        <v>163</v>
      </c>
      <c r="K9" s="128" t="s">
        <v>164</v>
      </c>
      <c r="L9" s="128" t="s">
        <v>165</v>
      </c>
      <c r="M9" s="128" t="s">
        <v>166</v>
      </c>
      <c r="N9" s="128" t="s">
        <v>167</v>
      </c>
      <c r="O9" s="33"/>
      <c r="P9" s="10"/>
      <c r="Q9" s="33"/>
      <c r="R9" s="33"/>
      <c r="S9" s="33"/>
      <c r="T9" s="33"/>
      <c r="U9" s="33"/>
      <c r="V9" s="33"/>
      <c r="W9" s="199"/>
    </row>
    <row r="10" spans="1:33" ht="17.25" customHeight="1" x14ac:dyDescent="0.2">
      <c r="A10" s="112" t="s">
        <v>4</v>
      </c>
      <c r="B10" s="112">
        <v>2</v>
      </c>
      <c r="C10" s="112">
        <v>4</v>
      </c>
      <c r="D10" s="112">
        <v>5</v>
      </c>
      <c r="E10" s="112">
        <v>6</v>
      </c>
      <c r="F10" s="112">
        <v>7</v>
      </c>
      <c r="G10" s="13"/>
      <c r="H10" s="112" t="s">
        <v>6</v>
      </c>
      <c r="I10" s="112" t="s">
        <v>7</v>
      </c>
      <c r="J10" s="112" t="s">
        <v>8</v>
      </c>
      <c r="K10" s="112" t="s">
        <v>9</v>
      </c>
      <c r="L10" s="112" t="s">
        <v>10</v>
      </c>
      <c r="M10" s="112" t="s">
        <v>169</v>
      </c>
      <c r="N10" s="112" t="s">
        <v>170</v>
      </c>
      <c r="O10" s="12"/>
      <c r="P10" s="27"/>
      <c r="Q10" s="12"/>
      <c r="R10" s="12"/>
      <c r="S10" s="12"/>
      <c r="T10" s="12"/>
      <c r="U10" s="12"/>
      <c r="V10" s="12"/>
      <c r="W10" s="28">
        <v>10</v>
      </c>
    </row>
    <row r="11" spans="1:33" ht="24" customHeight="1" x14ac:dyDescent="0.2">
      <c r="A11" s="200" t="s">
        <v>3</v>
      </c>
      <c r="B11" s="212" t="s">
        <v>168</v>
      </c>
      <c r="C11" s="112"/>
      <c r="D11" s="112"/>
      <c r="E11" s="112"/>
      <c r="F11" s="112"/>
      <c r="G11" s="58"/>
      <c r="H11" s="15" t="s">
        <v>19</v>
      </c>
      <c r="I11" s="11">
        <f t="shared" ref="I11:N11" si="0">I15+I25+I359</f>
        <v>210341.9475181443</v>
      </c>
      <c r="J11" s="11">
        <f t="shared" si="0"/>
        <v>58877.947519999994</v>
      </c>
      <c r="K11" s="11">
        <f t="shared" si="0"/>
        <v>32616.000000515462</v>
      </c>
      <c r="L11" s="11">
        <f t="shared" si="0"/>
        <v>39615.999995876293</v>
      </c>
      <c r="M11" s="11">
        <f t="shared" si="0"/>
        <v>39615.999995876286</v>
      </c>
      <c r="N11" s="11">
        <f t="shared" si="0"/>
        <v>39615.999995876293</v>
      </c>
      <c r="O11" s="17"/>
      <c r="P11" s="18"/>
      <c r="Q11" s="17"/>
      <c r="R11" s="17"/>
      <c r="S11" s="17"/>
      <c r="T11" s="17"/>
      <c r="U11" s="17"/>
      <c r="V11" s="17"/>
      <c r="W11" s="19"/>
    </row>
    <row r="12" spans="1:33" ht="20.25" customHeight="1" x14ac:dyDescent="0.2">
      <c r="A12" s="201"/>
      <c r="B12" s="213"/>
      <c r="C12" s="112"/>
      <c r="D12" s="112"/>
      <c r="E12" s="112"/>
      <c r="F12" s="112"/>
      <c r="G12" s="58"/>
      <c r="H12" s="15" t="s">
        <v>20</v>
      </c>
      <c r="I12" s="45">
        <f>I26</f>
        <v>90852.497700000007</v>
      </c>
      <c r="J12" s="11">
        <f t="shared" ref="J12:N13" si="1">J26</f>
        <v>29852.4977</v>
      </c>
      <c r="K12" s="11">
        <f t="shared" si="1"/>
        <v>10000</v>
      </c>
      <c r="L12" s="11">
        <f t="shared" si="1"/>
        <v>17000</v>
      </c>
      <c r="M12" s="11">
        <f t="shared" si="1"/>
        <v>17000</v>
      </c>
      <c r="N12" s="11">
        <f t="shared" si="1"/>
        <v>17000</v>
      </c>
      <c r="O12" s="17"/>
      <c r="P12" s="18"/>
      <c r="Q12" s="17"/>
      <c r="R12" s="17"/>
      <c r="S12" s="17"/>
      <c r="T12" s="17"/>
      <c r="U12" s="17"/>
      <c r="V12" s="17"/>
      <c r="W12" s="19"/>
    </row>
    <row r="13" spans="1:33" ht="45" customHeight="1" x14ac:dyDescent="0.2">
      <c r="A13" s="201"/>
      <c r="B13" s="213"/>
      <c r="C13" s="112"/>
      <c r="D13" s="112"/>
      <c r="E13" s="112"/>
      <c r="F13" s="112"/>
      <c r="G13" s="58"/>
      <c r="H13" s="63" t="s">
        <v>208</v>
      </c>
      <c r="I13" s="45">
        <f>I27</f>
        <v>3945.9217581443299</v>
      </c>
      <c r="J13" s="11">
        <f>J27</f>
        <v>822.21100999999999</v>
      </c>
      <c r="K13" s="11">
        <f t="shared" si="1"/>
        <v>1546.3917505154639</v>
      </c>
      <c r="L13" s="11">
        <f t="shared" si="1"/>
        <v>525.77299587628886</v>
      </c>
      <c r="M13" s="11">
        <f t="shared" si="1"/>
        <v>525.77299587628841</v>
      </c>
      <c r="N13" s="11">
        <f t="shared" si="1"/>
        <v>525.77299587628863</v>
      </c>
      <c r="O13" s="17"/>
      <c r="P13" s="18"/>
      <c r="Q13" s="17"/>
      <c r="R13" s="17"/>
      <c r="S13" s="17"/>
      <c r="T13" s="17"/>
      <c r="U13" s="17"/>
      <c r="V13" s="17"/>
      <c r="W13" s="19"/>
    </row>
    <row r="14" spans="1:33" ht="26.25" customHeight="1" x14ac:dyDescent="0.2">
      <c r="A14" s="201"/>
      <c r="B14" s="213"/>
      <c r="C14" s="112"/>
      <c r="D14" s="112"/>
      <c r="E14" s="112"/>
      <c r="F14" s="112"/>
      <c r="G14" s="58"/>
      <c r="H14" s="15" t="s">
        <v>16</v>
      </c>
      <c r="I14" s="45">
        <f t="shared" ref="I14:N14" si="2">I17+I28+I359</f>
        <v>115543.52806</v>
      </c>
      <c r="J14" s="11">
        <f t="shared" si="2"/>
        <v>28203.238809999995</v>
      </c>
      <c r="K14" s="11">
        <f t="shared" si="2"/>
        <v>21069.608249999997</v>
      </c>
      <c r="L14" s="11">
        <f t="shared" si="2"/>
        <v>22090.226999999999</v>
      </c>
      <c r="M14" s="11">
        <f t="shared" si="2"/>
        <v>22090.226999999999</v>
      </c>
      <c r="N14" s="11">
        <f t="shared" si="2"/>
        <v>22090.226999999999</v>
      </c>
      <c r="O14" s="17"/>
      <c r="P14" s="18"/>
      <c r="Q14" s="17"/>
      <c r="R14" s="17"/>
      <c r="S14" s="17"/>
      <c r="T14" s="17"/>
      <c r="U14" s="17"/>
      <c r="V14" s="17"/>
      <c r="W14" s="9"/>
    </row>
    <row r="15" spans="1:33" ht="22.5" customHeight="1" x14ac:dyDescent="0.2">
      <c r="A15" s="200" t="s">
        <v>5</v>
      </c>
      <c r="B15" s="210" t="s">
        <v>265</v>
      </c>
      <c r="C15" s="3"/>
      <c r="D15" s="3"/>
      <c r="E15" s="3"/>
      <c r="F15" s="3"/>
      <c r="G15" s="58"/>
      <c r="H15" s="15" t="s">
        <v>19</v>
      </c>
      <c r="I15" s="11">
        <f>J15+K15+L15+M15+N15</f>
        <v>4114</v>
      </c>
      <c r="J15" s="11">
        <f>J17</f>
        <v>50</v>
      </c>
      <c r="K15" s="11">
        <f>K17</f>
        <v>1016</v>
      </c>
      <c r="L15" s="11">
        <f>L17</f>
        <v>1016</v>
      </c>
      <c r="M15" s="11">
        <f>M17</f>
        <v>1016</v>
      </c>
      <c r="N15" s="11">
        <f>N17</f>
        <v>1016</v>
      </c>
      <c r="O15" s="58"/>
      <c r="W15" s="3"/>
    </row>
    <row r="16" spans="1:33" ht="22.5" customHeight="1" x14ac:dyDescent="0.2">
      <c r="A16" s="201"/>
      <c r="B16" s="211"/>
      <c r="C16" s="3"/>
      <c r="D16" s="3"/>
      <c r="E16" s="3"/>
      <c r="F16" s="3"/>
      <c r="G16" s="58"/>
      <c r="H16" s="15" t="s">
        <v>20</v>
      </c>
      <c r="I16" s="11"/>
      <c r="J16" s="11"/>
      <c r="K16" s="11"/>
      <c r="L16" s="11"/>
      <c r="M16" s="11"/>
      <c r="N16" s="11"/>
      <c r="O16" s="58"/>
      <c r="W16" s="3"/>
    </row>
    <row r="17" spans="1:30" ht="20.25" customHeight="1" x14ac:dyDescent="0.2">
      <c r="A17" s="201"/>
      <c r="B17" s="211"/>
      <c r="C17" s="3"/>
      <c r="D17" s="3"/>
      <c r="E17" s="3"/>
      <c r="F17" s="3"/>
      <c r="G17" s="58"/>
      <c r="H17" s="15" t="s">
        <v>16</v>
      </c>
      <c r="I17" s="11">
        <f>J17+K17+L17+M17+N17</f>
        <v>4114</v>
      </c>
      <c r="J17" s="11">
        <f>J20+J22</f>
        <v>50</v>
      </c>
      <c r="K17" s="11">
        <f>K18</f>
        <v>1016</v>
      </c>
      <c r="L17" s="11">
        <f>L20</f>
        <v>1016</v>
      </c>
      <c r="M17" s="11">
        <f>M20</f>
        <v>1016</v>
      </c>
      <c r="N17" s="11">
        <f>N20</f>
        <v>1016</v>
      </c>
      <c r="O17" s="58"/>
      <c r="W17" s="3"/>
    </row>
    <row r="18" spans="1:30" ht="15.75" customHeight="1" x14ac:dyDescent="0.2">
      <c r="A18" s="200" t="s">
        <v>12</v>
      </c>
      <c r="B18" s="202" t="s">
        <v>129</v>
      </c>
      <c r="C18" s="3"/>
      <c r="D18" s="3"/>
      <c r="E18" s="3"/>
      <c r="F18" s="3"/>
      <c r="G18" s="58"/>
      <c r="H18" s="26" t="s">
        <v>19</v>
      </c>
      <c r="I18" s="29">
        <f>J18+K18+L18+N18+L18</f>
        <v>4064</v>
      </c>
      <c r="J18" s="29">
        <f>J20</f>
        <v>0</v>
      </c>
      <c r="K18" s="29">
        <f>K20</f>
        <v>1016</v>
      </c>
      <c r="L18" s="29">
        <f>L20</f>
        <v>1016</v>
      </c>
      <c r="M18" s="29">
        <f>M20</f>
        <v>1016</v>
      </c>
      <c r="N18" s="29">
        <f>N20</f>
        <v>1016</v>
      </c>
      <c r="O18" s="58"/>
      <c r="W18" s="205" t="s">
        <v>25</v>
      </c>
    </row>
    <row r="19" spans="1:30" ht="24.75" hidden="1" customHeight="1" x14ac:dyDescent="0.2">
      <c r="A19" s="201"/>
      <c r="B19" s="203"/>
      <c r="C19" s="3"/>
      <c r="D19" s="3"/>
      <c r="E19" s="3"/>
      <c r="F19" s="3"/>
      <c r="G19" s="58"/>
      <c r="H19" s="26" t="s">
        <v>20</v>
      </c>
      <c r="I19" s="29"/>
      <c r="J19" s="11"/>
      <c r="K19" s="11"/>
      <c r="L19" s="11"/>
      <c r="M19" s="11"/>
      <c r="N19" s="11"/>
      <c r="O19" s="58"/>
      <c r="W19" s="206"/>
    </row>
    <row r="20" spans="1:30" ht="123.75" customHeight="1" x14ac:dyDescent="0.2">
      <c r="A20" s="196"/>
      <c r="B20" s="204"/>
      <c r="C20" s="172"/>
      <c r="D20" s="172"/>
      <c r="E20" s="172"/>
      <c r="F20" s="172"/>
      <c r="G20" s="58"/>
      <c r="H20" s="47" t="s">
        <v>16</v>
      </c>
      <c r="I20" s="173">
        <f>J20+K20+L20+N20+L20</f>
        <v>4064</v>
      </c>
      <c r="J20" s="173">
        <v>0</v>
      </c>
      <c r="K20" s="173">
        <v>1016</v>
      </c>
      <c r="L20" s="173">
        <v>1016</v>
      </c>
      <c r="M20" s="173">
        <v>1016</v>
      </c>
      <c r="N20" s="173">
        <v>1016</v>
      </c>
      <c r="O20" s="58"/>
      <c r="W20" s="206"/>
    </row>
    <row r="21" spans="1:30" ht="40.5" customHeight="1" x14ac:dyDescent="0.2">
      <c r="A21" s="226" t="s">
        <v>2</v>
      </c>
      <c r="B21" s="224" t="s">
        <v>330</v>
      </c>
      <c r="C21" s="3"/>
      <c r="D21" s="3"/>
      <c r="E21" s="3"/>
      <c r="F21" s="3"/>
      <c r="G21" s="33"/>
      <c r="H21" s="26" t="s">
        <v>19</v>
      </c>
      <c r="I21" s="29">
        <f>I22</f>
        <v>50</v>
      </c>
      <c r="J21" s="29">
        <f>J22</f>
        <v>50</v>
      </c>
      <c r="K21" s="29"/>
      <c r="L21" s="29"/>
      <c r="M21" s="29"/>
      <c r="N21" s="29"/>
      <c r="O21" s="33"/>
      <c r="P21" s="10"/>
      <c r="Q21" s="33"/>
      <c r="R21" s="33"/>
      <c r="S21" s="33"/>
      <c r="T21" s="33"/>
      <c r="U21" s="33"/>
      <c r="V21" s="33"/>
      <c r="W21" s="177" t="s">
        <v>26</v>
      </c>
    </row>
    <row r="22" spans="1:30" ht="46.5" customHeight="1" x14ac:dyDescent="0.2">
      <c r="A22" s="199"/>
      <c r="B22" s="225"/>
      <c r="C22" s="178"/>
      <c r="D22" s="178"/>
      <c r="E22" s="178"/>
      <c r="F22" s="178"/>
      <c r="G22" s="54"/>
      <c r="H22" s="26" t="s">
        <v>16</v>
      </c>
      <c r="I22" s="175">
        <f>J22</f>
        <v>50</v>
      </c>
      <c r="J22" s="175">
        <v>50</v>
      </c>
      <c r="K22" s="175"/>
      <c r="L22" s="175"/>
      <c r="M22" s="175"/>
      <c r="N22" s="175"/>
      <c r="O22" s="54"/>
      <c r="Q22" s="54"/>
      <c r="R22" s="54"/>
      <c r="S22" s="54"/>
      <c r="T22" s="54"/>
      <c r="U22" s="54"/>
      <c r="V22" s="54"/>
      <c r="W22" s="170"/>
    </row>
    <row r="23" spans="1:30" ht="24.75" customHeight="1" x14ac:dyDescent="0.2">
      <c r="A23" s="169" t="s">
        <v>329</v>
      </c>
      <c r="B23" s="201" t="s">
        <v>135</v>
      </c>
      <c r="C23" s="171"/>
      <c r="D23" s="171"/>
      <c r="E23" s="171"/>
      <c r="F23" s="171"/>
      <c r="G23" s="58"/>
      <c r="H23" s="174" t="s">
        <v>19</v>
      </c>
      <c r="I23" s="175"/>
      <c r="J23" s="176"/>
      <c r="K23" s="176"/>
      <c r="L23" s="176"/>
      <c r="M23" s="176"/>
      <c r="N23" s="176"/>
      <c r="O23" s="58"/>
      <c r="W23" s="208" t="s">
        <v>26</v>
      </c>
    </row>
    <row r="24" spans="1:30" ht="54" customHeight="1" x14ac:dyDescent="0.2">
      <c r="A24" s="104"/>
      <c r="B24" s="207"/>
      <c r="C24" s="112"/>
      <c r="D24" s="112"/>
      <c r="E24" s="112"/>
      <c r="F24" s="112"/>
      <c r="G24" s="58"/>
      <c r="H24" s="26" t="s">
        <v>16</v>
      </c>
      <c r="I24" s="29"/>
      <c r="J24" s="9"/>
      <c r="K24" s="9"/>
      <c r="L24" s="9"/>
      <c r="M24" s="9"/>
      <c r="N24" s="9"/>
      <c r="O24" s="58"/>
      <c r="W24" s="209"/>
    </row>
    <row r="25" spans="1:30" ht="28.5" customHeight="1" x14ac:dyDescent="0.2">
      <c r="A25" s="210" t="s">
        <v>13</v>
      </c>
      <c r="B25" s="210" t="s">
        <v>266</v>
      </c>
      <c r="C25" s="112"/>
      <c r="D25" s="112"/>
      <c r="E25" s="112"/>
      <c r="F25" s="112"/>
      <c r="G25" s="58"/>
      <c r="H25" s="15" t="s">
        <v>19</v>
      </c>
      <c r="I25" s="11">
        <f>I29+I41+I234+I350+0.00001</f>
        <v>198735.20931814431</v>
      </c>
      <c r="J25" s="11">
        <f>J29+J41+J234+J350</f>
        <v>57135.209319999994</v>
      </c>
      <c r="K25" s="11">
        <f>K29+K41+K234</f>
        <v>30150.000000515462</v>
      </c>
      <c r="L25" s="11">
        <f>L29+L41+L234</f>
        <v>37149.999995876293</v>
      </c>
      <c r="M25" s="11">
        <f>M29+M41+M234</f>
        <v>37149.999995876286</v>
      </c>
      <c r="N25" s="11">
        <f>N29+N41+N234</f>
        <v>37149.999995876293</v>
      </c>
      <c r="O25" s="58"/>
      <c r="W25" s="200"/>
      <c r="AD25" s="17"/>
    </row>
    <row r="26" spans="1:30" ht="19.5" customHeight="1" x14ac:dyDescent="0.2">
      <c r="A26" s="211"/>
      <c r="B26" s="211"/>
      <c r="C26" s="112"/>
      <c r="D26" s="112"/>
      <c r="E26" s="112"/>
      <c r="F26" s="112"/>
      <c r="G26" s="58"/>
      <c r="H26" s="15" t="s">
        <v>20</v>
      </c>
      <c r="I26" s="11">
        <f>I30+I42+I351</f>
        <v>90852.497700000007</v>
      </c>
      <c r="J26" s="11">
        <f>J30+J42+J351</f>
        <v>29852.4977</v>
      </c>
      <c r="K26" s="11">
        <f t="shared" ref="K26:N26" si="3">K30+K42</f>
        <v>10000</v>
      </c>
      <c r="L26" s="11">
        <f t="shared" si="3"/>
        <v>17000</v>
      </c>
      <c r="M26" s="11">
        <f t="shared" si="3"/>
        <v>17000</v>
      </c>
      <c r="N26" s="11">
        <f t="shared" si="3"/>
        <v>17000</v>
      </c>
      <c r="O26" s="58"/>
      <c r="W26" s="201"/>
    </row>
    <row r="27" spans="1:30" ht="40.5" customHeight="1" x14ac:dyDescent="0.2">
      <c r="A27" s="211"/>
      <c r="B27" s="211"/>
      <c r="C27" s="112"/>
      <c r="D27" s="112"/>
      <c r="E27" s="112"/>
      <c r="F27" s="112"/>
      <c r="G27" s="58"/>
      <c r="H27" s="63" t="s">
        <v>208</v>
      </c>
      <c r="I27" s="45">
        <f>I43+I352</f>
        <v>3945.9217581443299</v>
      </c>
      <c r="J27" s="11">
        <f>J43+J352</f>
        <v>822.21100999999999</v>
      </c>
      <c r="K27" s="11">
        <f>K43</f>
        <v>1546.3917505154639</v>
      </c>
      <c r="L27" s="11">
        <f>L43</f>
        <v>525.77299587628886</v>
      </c>
      <c r="M27" s="11">
        <f>M43</f>
        <v>525.77299587628841</v>
      </c>
      <c r="N27" s="11">
        <f>N43</f>
        <v>525.77299587628863</v>
      </c>
      <c r="O27" s="58"/>
      <c r="W27" s="201"/>
    </row>
    <row r="28" spans="1:30" ht="24" customHeight="1" x14ac:dyDescent="0.2">
      <c r="A28" s="211"/>
      <c r="B28" s="211"/>
      <c r="C28" s="112"/>
      <c r="D28" s="112"/>
      <c r="E28" s="112"/>
      <c r="F28" s="112"/>
      <c r="G28" s="58"/>
      <c r="H28" s="15" t="s">
        <v>16</v>
      </c>
      <c r="I28" s="45">
        <f>I31+I43+I236+I352+I44-I27</f>
        <v>103936.78985999999</v>
      </c>
      <c r="J28" s="11">
        <f>J31+J44+J236</f>
        <v>26460.500609999996</v>
      </c>
      <c r="K28" s="11">
        <f>K31+K44+K236</f>
        <v>18603.608249999997</v>
      </c>
      <c r="L28" s="11">
        <f>L31+L44+L236</f>
        <v>19624.226999999999</v>
      </c>
      <c r="M28" s="11">
        <f>M31+M44+M236</f>
        <v>19624.226999999999</v>
      </c>
      <c r="N28" s="11">
        <f>N31+N44+N236</f>
        <v>19624.226999999999</v>
      </c>
      <c r="O28" s="58"/>
      <c r="W28" s="201"/>
    </row>
    <row r="29" spans="1:30" ht="24.75" customHeight="1" x14ac:dyDescent="0.2">
      <c r="A29" s="221" t="s">
        <v>14</v>
      </c>
      <c r="B29" s="210" t="s">
        <v>134</v>
      </c>
      <c r="C29" s="112"/>
      <c r="D29" s="112"/>
      <c r="E29" s="112"/>
      <c r="F29" s="112"/>
      <c r="G29" s="58"/>
      <c r="H29" s="15" t="s">
        <v>19</v>
      </c>
      <c r="I29" s="11">
        <f>J29+K29+N29</f>
        <v>0</v>
      </c>
      <c r="J29" s="11">
        <f>J30+J31</f>
        <v>0</v>
      </c>
      <c r="K29" s="11">
        <f>K30+K31</f>
        <v>0</v>
      </c>
      <c r="L29" s="11">
        <f t="shared" ref="L29:N31" si="4">L32</f>
        <v>0</v>
      </c>
      <c r="M29" s="11">
        <f t="shared" si="4"/>
        <v>0</v>
      </c>
      <c r="N29" s="11">
        <f t="shared" si="4"/>
        <v>0</v>
      </c>
      <c r="O29" s="58"/>
      <c r="W29" s="200"/>
    </row>
    <row r="30" spans="1:30" ht="24.75" customHeight="1" x14ac:dyDescent="0.2">
      <c r="A30" s="221"/>
      <c r="B30" s="211"/>
      <c r="C30" s="112"/>
      <c r="D30" s="112"/>
      <c r="E30" s="112"/>
      <c r="F30" s="112"/>
      <c r="G30" s="58"/>
      <c r="H30" s="15" t="s">
        <v>20</v>
      </c>
      <c r="I30" s="11">
        <f>J30+K30+N30</f>
        <v>0</v>
      </c>
      <c r="J30" s="11">
        <f>J33</f>
        <v>0</v>
      </c>
      <c r="K30" s="11">
        <f>K33</f>
        <v>0</v>
      </c>
      <c r="L30" s="11">
        <f t="shared" si="4"/>
        <v>0</v>
      </c>
      <c r="M30" s="11">
        <f t="shared" si="4"/>
        <v>0</v>
      </c>
      <c r="N30" s="11">
        <f t="shared" si="4"/>
        <v>0</v>
      </c>
      <c r="O30" s="58"/>
      <c r="W30" s="201"/>
    </row>
    <row r="31" spans="1:30" ht="23.25" customHeight="1" x14ac:dyDescent="0.2">
      <c r="A31" s="221"/>
      <c r="B31" s="211"/>
      <c r="C31" s="112"/>
      <c r="D31" s="112"/>
      <c r="E31" s="112"/>
      <c r="F31" s="112"/>
      <c r="G31" s="58"/>
      <c r="H31" s="15" t="s">
        <v>16</v>
      </c>
      <c r="I31" s="11">
        <f>J31+K31+N31</f>
        <v>0</v>
      </c>
      <c r="J31" s="11">
        <f>J34</f>
        <v>0</v>
      </c>
      <c r="K31" s="11">
        <f>K34</f>
        <v>0</v>
      </c>
      <c r="L31" s="11">
        <f t="shared" si="4"/>
        <v>0</v>
      </c>
      <c r="M31" s="11">
        <f t="shared" si="4"/>
        <v>0</v>
      </c>
      <c r="N31" s="11">
        <f t="shared" si="4"/>
        <v>0</v>
      </c>
      <c r="O31" s="58"/>
      <c r="W31" s="201"/>
    </row>
    <row r="32" spans="1:30" ht="33" customHeight="1" x14ac:dyDescent="0.2">
      <c r="A32" s="210" t="s">
        <v>114</v>
      </c>
      <c r="B32" s="210" t="s">
        <v>113</v>
      </c>
      <c r="C32" s="112"/>
      <c r="D32" s="112"/>
      <c r="E32" s="112"/>
      <c r="F32" s="112"/>
      <c r="G32" s="58"/>
      <c r="H32" s="15" t="s">
        <v>19</v>
      </c>
      <c r="I32" s="11">
        <f>I33+I34</f>
        <v>0</v>
      </c>
      <c r="J32" s="11">
        <f>J33+J34</f>
        <v>0</v>
      </c>
      <c r="K32" s="11">
        <f>K33+K34</f>
        <v>0</v>
      </c>
      <c r="L32" s="11">
        <f t="shared" ref="L32:N32" si="5">L33+L34</f>
        <v>0</v>
      </c>
      <c r="M32" s="11">
        <f t="shared" si="5"/>
        <v>0</v>
      </c>
      <c r="N32" s="11">
        <f t="shared" si="5"/>
        <v>0</v>
      </c>
      <c r="O32" s="58"/>
      <c r="W32" s="104"/>
    </row>
    <row r="33" spans="1:31" ht="24" customHeight="1" x14ac:dyDescent="0.2">
      <c r="A33" s="196"/>
      <c r="B33" s="196"/>
      <c r="C33" s="112"/>
      <c r="D33" s="112"/>
      <c r="E33" s="112"/>
      <c r="F33" s="112"/>
      <c r="G33" s="58"/>
      <c r="H33" s="15" t="s">
        <v>20</v>
      </c>
      <c r="I33" s="11">
        <f>J33+K33+N33</f>
        <v>0</v>
      </c>
      <c r="J33" s="11">
        <f>J36+J39</f>
        <v>0</v>
      </c>
      <c r="K33" s="11">
        <f>K36+K39</f>
        <v>0</v>
      </c>
      <c r="L33" s="11">
        <f t="shared" ref="L33:N34" si="6">L36+L39</f>
        <v>0</v>
      </c>
      <c r="M33" s="11">
        <f t="shared" si="6"/>
        <v>0</v>
      </c>
      <c r="N33" s="11">
        <f t="shared" si="6"/>
        <v>0</v>
      </c>
      <c r="O33" s="58"/>
      <c r="W33" s="104"/>
    </row>
    <row r="34" spans="1:31" ht="45.75" customHeight="1" x14ac:dyDescent="0.2">
      <c r="A34" s="217"/>
      <c r="B34" s="217"/>
      <c r="C34" s="112"/>
      <c r="D34" s="112"/>
      <c r="E34" s="112"/>
      <c r="F34" s="112"/>
      <c r="G34" s="58"/>
      <c r="H34" s="15" t="s">
        <v>16</v>
      </c>
      <c r="I34" s="11">
        <f>J34+N34</f>
        <v>0</v>
      </c>
      <c r="J34" s="11">
        <f>J37+J40</f>
        <v>0</v>
      </c>
      <c r="K34" s="11">
        <f>K37+K40</f>
        <v>0</v>
      </c>
      <c r="L34" s="11">
        <f t="shared" si="6"/>
        <v>0</v>
      </c>
      <c r="M34" s="11">
        <f t="shared" si="6"/>
        <v>0</v>
      </c>
      <c r="N34" s="11">
        <f t="shared" si="6"/>
        <v>0</v>
      </c>
      <c r="O34" s="58"/>
      <c r="W34" s="104"/>
    </row>
    <row r="35" spans="1:31" ht="35.25" customHeight="1" x14ac:dyDescent="0.2">
      <c r="A35" s="200" t="s">
        <v>115</v>
      </c>
      <c r="B35" s="222" t="s">
        <v>136</v>
      </c>
      <c r="C35" s="112"/>
      <c r="D35" s="112"/>
      <c r="E35" s="112"/>
      <c r="F35" s="112"/>
      <c r="G35" s="58"/>
      <c r="H35" s="26" t="s">
        <v>19</v>
      </c>
      <c r="I35" s="20">
        <f t="shared" ref="I35:I40" si="7">J35</f>
        <v>0</v>
      </c>
      <c r="J35" s="29"/>
      <c r="K35" s="29"/>
      <c r="L35" s="29"/>
      <c r="M35" s="29"/>
      <c r="N35" s="29"/>
      <c r="O35" s="58"/>
      <c r="W35" s="200" t="s">
        <v>139</v>
      </c>
    </row>
    <row r="36" spans="1:31" ht="42" customHeight="1" x14ac:dyDescent="0.2">
      <c r="A36" s="201"/>
      <c r="B36" s="223"/>
      <c r="C36" s="112"/>
      <c r="D36" s="112"/>
      <c r="E36" s="112"/>
      <c r="F36" s="112"/>
      <c r="G36" s="58"/>
      <c r="H36" s="26" t="s">
        <v>20</v>
      </c>
      <c r="I36" s="20">
        <f t="shared" si="7"/>
        <v>0</v>
      </c>
      <c r="J36" s="29"/>
      <c r="K36" s="29"/>
      <c r="L36" s="29"/>
      <c r="M36" s="29"/>
      <c r="N36" s="29"/>
      <c r="O36" s="58"/>
      <c r="W36" s="201"/>
    </row>
    <row r="37" spans="1:31" ht="72" customHeight="1" x14ac:dyDescent="0.2">
      <c r="A37" s="201"/>
      <c r="B37" s="223"/>
      <c r="C37" s="112"/>
      <c r="D37" s="112"/>
      <c r="E37" s="112"/>
      <c r="F37" s="112"/>
      <c r="G37" s="58"/>
      <c r="H37" s="26" t="s">
        <v>16</v>
      </c>
      <c r="I37" s="20">
        <f t="shared" si="7"/>
        <v>0</v>
      </c>
      <c r="J37" s="29"/>
      <c r="K37" s="29"/>
      <c r="L37" s="29"/>
      <c r="M37" s="29"/>
      <c r="N37" s="29"/>
      <c r="O37" s="58"/>
      <c r="W37" s="201"/>
    </row>
    <row r="38" spans="1:31" ht="32.25" customHeight="1" x14ac:dyDescent="0.2">
      <c r="A38" s="200" t="s">
        <v>116</v>
      </c>
      <c r="B38" s="214" t="s">
        <v>143</v>
      </c>
      <c r="C38" s="112"/>
      <c r="D38" s="112"/>
      <c r="E38" s="112"/>
      <c r="F38" s="112"/>
      <c r="G38" s="58"/>
      <c r="H38" s="26" t="s">
        <v>19</v>
      </c>
      <c r="I38" s="20">
        <f t="shared" si="7"/>
        <v>0</v>
      </c>
      <c r="J38" s="9"/>
      <c r="K38" s="9"/>
      <c r="L38" s="9"/>
      <c r="M38" s="9"/>
      <c r="N38" s="9"/>
      <c r="O38" s="58"/>
      <c r="W38" s="182" t="s">
        <v>137</v>
      </c>
    </row>
    <row r="39" spans="1:31" ht="30" customHeight="1" x14ac:dyDescent="0.2">
      <c r="A39" s="201"/>
      <c r="B39" s="215"/>
      <c r="C39" s="112"/>
      <c r="D39" s="112"/>
      <c r="E39" s="112"/>
      <c r="F39" s="112"/>
      <c r="G39" s="58"/>
      <c r="H39" s="26" t="s">
        <v>20</v>
      </c>
      <c r="I39" s="20">
        <f t="shared" si="7"/>
        <v>0</v>
      </c>
      <c r="J39" s="9"/>
      <c r="K39" s="9"/>
      <c r="L39" s="9"/>
      <c r="M39" s="9"/>
      <c r="N39" s="9"/>
      <c r="O39" s="58"/>
      <c r="W39" s="182"/>
    </row>
    <row r="40" spans="1:31" ht="45.75" customHeight="1" x14ac:dyDescent="0.2">
      <c r="A40" s="207"/>
      <c r="B40" s="216"/>
      <c r="C40" s="112"/>
      <c r="D40" s="112"/>
      <c r="E40" s="112"/>
      <c r="F40" s="112"/>
      <c r="G40" s="58"/>
      <c r="H40" s="26" t="s">
        <v>16</v>
      </c>
      <c r="I40" s="20">
        <f t="shared" si="7"/>
        <v>0</v>
      </c>
      <c r="J40" s="9"/>
      <c r="K40" s="9"/>
      <c r="L40" s="9"/>
      <c r="M40" s="9"/>
      <c r="N40" s="9"/>
      <c r="O40" s="58"/>
      <c r="W40" s="182"/>
    </row>
    <row r="41" spans="1:31" ht="18.75" customHeight="1" x14ac:dyDescent="0.2">
      <c r="A41" s="210" t="s">
        <v>15</v>
      </c>
      <c r="B41" s="218" t="s">
        <v>27</v>
      </c>
      <c r="C41" s="105"/>
      <c r="D41" s="105"/>
      <c r="E41" s="105"/>
      <c r="F41" s="105"/>
      <c r="G41" s="58"/>
      <c r="H41" s="48" t="s">
        <v>19</v>
      </c>
      <c r="I41" s="87">
        <f>J41+K41+L41+M41+N41</f>
        <v>95656.723218144325</v>
      </c>
      <c r="J41" s="87">
        <f>J42+J43+J44</f>
        <v>27653.012479999998</v>
      </c>
      <c r="K41" s="45">
        <f>K42+K43+K44</f>
        <v>12516.391750515464</v>
      </c>
      <c r="L41" s="45">
        <f>L42+L43+L44</f>
        <v>18495.77299587629</v>
      </c>
      <c r="M41" s="45">
        <f>M42+M43+M44</f>
        <v>18495.772995876287</v>
      </c>
      <c r="N41" s="11">
        <f>N42+N43+N44</f>
        <v>18495.77299587629</v>
      </c>
      <c r="O41" s="58"/>
      <c r="W41" s="196"/>
    </row>
    <row r="42" spans="1:31" ht="27.75" customHeight="1" x14ac:dyDescent="0.2">
      <c r="A42" s="211"/>
      <c r="B42" s="219"/>
      <c r="C42" s="112"/>
      <c r="D42" s="112"/>
      <c r="E42" s="112"/>
      <c r="F42" s="112"/>
      <c r="G42" s="58"/>
      <c r="H42" s="15" t="s">
        <v>20</v>
      </c>
      <c r="I42" s="45">
        <f t="shared" ref="I42:N42" si="8">I46+I100+I127+I148+I175+I214</f>
        <v>86000</v>
      </c>
      <c r="J42" s="45">
        <f t="shared" si="8"/>
        <v>25000</v>
      </c>
      <c r="K42" s="45">
        <f t="shared" si="8"/>
        <v>10000</v>
      </c>
      <c r="L42" s="45">
        <f t="shared" si="8"/>
        <v>17000</v>
      </c>
      <c r="M42" s="45">
        <f t="shared" si="8"/>
        <v>17000</v>
      </c>
      <c r="N42" s="11">
        <f t="shared" si="8"/>
        <v>17000</v>
      </c>
      <c r="O42" s="58"/>
      <c r="W42" s="196"/>
    </row>
    <row r="43" spans="1:31" ht="32.25" customHeight="1" x14ac:dyDescent="0.2">
      <c r="A43" s="211"/>
      <c r="B43" s="219"/>
      <c r="C43" s="112"/>
      <c r="D43" s="112"/>
      <c r="E43" s="112"/>
      <c r="F43" s="112"/>
      <c r="G43" s="58"/>
      <c r="H43" s="63" t="s">
        <v>208</v>
      </c>
      <c r="I43" s="45">
        <f>I50+I53+I56+I59+I80+I83+I86+I89+I92+I98+I104+I119+I125+I137+I140+I143+I146+I158+I167+I170+I173+I179+I182+I200+I206+I209+I218+I221+0.00001+I77+I113+I230+I116</f>
        <v>3896.9066281443302</v>
      </c>
      <c r="J43" s="45">
        <f>J47+J101+J128+J149+J176+J215+J233+J227-J44</f>
        <v>773.19587999999999</v>
      </c>
      <c r="K43" s="45">
        <f>K47+K101+K128+K149+K176-K44+K215+K228</f>
        <v>1546.3917505154639</v>
      </c>
      <c r="L43" s="45">
        <f>L47+L101+L128+L149+L176+L215-L44</f>
        <v>525.77299587628886</v>
      </c>
      <c r="M43" s="45">
        <f>M47+M101+M128+M149+M176+M215-M44</f>
        <v>525.77299587628841</v>
      </c>
      <c r="N43" s="11">
        <f>N47+N101+N128+N149+N176+N215-N44</f>
        <v>525.77299587628863</v>
      </c>
      <c r="O43" s="58"/>
      <c r="W43" s="196"/>
    </row>
    <row r="44" spans="1:31" ht="36.75" customHeight="1" x14ac:dyDescent="0.2">
      <c r="A44" s="217"/>
      <c r="B44" s="220"/>
      <c r="C44" s="112"/>
      <c r="D44" s="112"/>
      <c r="E44" s="112"/>
      <c r="F44" s="112"/>
      <c r="G44" s="58"/>
      <c r="H44" s="63" t="s">
        <v>209</v>
      </c>
      <c r="I44" s="11">
        <f>J44+K44+L44+M44+N44</f>
        <v>5759.8166000000001</v>
      </c>
      <c r="J44" s="11">
        <f>J71+J74+J110+J152+J185+J233+J227</f>
        <v>1879.8165999999999</v>
      </c>
      <c r="K44" s="11">
        <f>K188+K191+K194</f>
        <v>970</v>
      </c>
      <c r="L44" s="11">
        <f>L161+L164+L203</f>
        <v>970</v>
      </c>
      <c r="M44" s="11">
        <f>M95+M197+M122</f>
        <v>970</v>
      </c>
      <c r="N44" s="11">
        <f>N224+N212</f>
        <v>970</v>
      </c>
      <c r="O44" s="58"/>
      <c r="W44" s="109"/>
    </row>
    <row r="45" spans="1:31" ht="21.75" customHeight="1" x14ac:dyDescent="0.2">
      <c r="A45" s="97" t="s">
        <v>22</v>
      </c>
      <c r="B45" s="237" t="s">
        <v>32</v>
      </c>
      <c r="C45" s="112"/>
      <c r="D45" s="112"/>
      <c r="E45" s="112"/>
      <c r="F45" s="112"/>
      <c r="G45" s="58"/>
      <c r="H45" s="63" t="s">
        <v>19</v>
      </c>
      <c r="I45" s="22">
        <f>J45+K45+L45+M45+N45</f>
        <v>18978.623699793814</v>
      </c>
      <c r="J45" s="11">
        <f>J46+J47</f>
        <v>7882.3354399999998</v>
      </c>
      <c r="K45" s="11">
        <f>K46+K47</f>
        <v>0</v>
      </c>
      <c r="L45" s="11">
        <f>L46+L47</f>
        <v>2699.9998000000001</v>
      </c>
      <c r="M45" s="11">
        <f>M46+M47</f>
        <v>5586.2884597938146</v>
      </c>
      <c r="N45" s="11">
        <f>N46+N47</f>
        <v>2810</v>
      </c>
      <c r="O45" s="58"/>
      <c r="W45" s="57"/>
      <c r="AE45" s="17"/>
    </row>
    <row r="46" spans="1:31" ht="22.5" customHeight="1" x14ac:dyDescent="0.2">
      <c r="A46" s="98"/>
      <c r="B46" s="238"/>
      <c r="C46" s="112"/>
      <c r="D46" s="112"/>
      <c r="E46" s="112"/>
      <c r="F46" s="112"/>
      <c r="G46" s="58"/>
      <c r="H46" s="63" t="s">
        <v>20</v>
      </c>
      <c r="I46" s="22">
        <f>I49+I79+I82+I85+I88+I91+I97+I52+I55+I58+I61+I64+I76</f>
        <v>17623.77954</v>
      </c>
      <c r="J46" s="11">
        <f>J79+J49+J82+J85+J67+J52+J55+J58+J61+J64+J76</f>
        <v>7122.2795399999995</v>
      </c>
      <c r="K46" s="11">
        <f>K79</f>
        <v>0</v>
      </c>
      <c r="L46" s="11">
        <f>L85</f>
        <v>2619</v>
      </c>
      <c r="M46" s="11">
        <f>M88+M91+M82</f>
        <v>5156.8</v>
      </c>
      <c r="N46" s="11">
        <f>N97</f>
        <v>2725.7</v>
      </c>
      <c r="O46" s="58"/>
      <c r="W46" s="109"/>
      <c r="AE46" s="58" t="s">
        <v>123</v>
      </c>
    </row>
    <row r="47" spans="1:31" ht="54.75" customHeight="1" x14ac:dyDescent="0.2">
      <c r="A47" s="30"/>
      <c r="B47" s="239"/>
      <c r="C47" s="112"/>
      <c r="D47" s="112"/>
      <c r="E47" s="112"/>
      <c r="F47" s="112"/>
      <c r="G47" s="58"/>
      <c r="H47" s="63" t="s">
        <v>233</v>
      </c>
      <c r="I47" s="11">
        <f>I50+I53+I56+I59+I71+I74+I80+I83+I86+I89+I92+I95+I98+I77</f>
        <v>1354.8441597938147</v>
      </c>
      <c r="J47" s="11">
        <f>J50+J53+J56+J68+J59+J62+J65+J71+J74+J77</f>
        <v>760.05590000000007</v>
      </c>
      <c r="K47" s="11">
        <f>K80</f>
        <v>0</v>
      </c>
      <c r="L47" s="11">
        <f>L86</f>
        <v>80.999799999999993</v>
      </c>
      <c r="M47" s="11">
        <f>M89+M92+M83+M95</f>
        <v>429.4884597938144</v>
      </c>
      <c r="N47" s="11">
        <f>N98</f>
        <v>84.3</v>
      </c>
      <c r="O47" s="58"/>
      <c r="W47" s="109"/>
    </row>
    <row r="48" spans="1:31" ht="20.25" customHeight="1" x14ac:dyDescent="0.2">
      <c r="A48" s="100" t="s">
        <v>28</v>
      </c>
      <c r="B48" s="230" t="s">
        <v>249</v>
      </c>
      <c r="C48" s="112"/>
      <c r="D48" s="112"/>
      <c r="E48" s="112"/>
      <c r="F48" s="112"/>
      <c r="G48" s="58"/>
      <c r="H48" s="64" t="s">
        <v>19</v>
      </c>
      <c r="I48" s="9">
        <f>J48</f>
        <v>1537.8386700000001</v>
      </c>
      <c r="J48" s="9">
        <f>J49+J50</f>
        <v>1537.8386700000001</v>
      </c>
      <c r="K48" s="9"/>
      <c r="L48" s="9"/>
      <c r="M48" s="9"/>
      <c r="N48" s="9"/>
      <c r="O48" s="58"/>
      <c r="W48" s="182" t="s">
        <v>26</v>
      </c>
    </row>
    <row r="49" spans="1:23" ht="25.5" customHeight="1" x14ac:dyDescent="0.2">
      <c r="A49" s="98"/>
      <c r="B49" s="240"/>
      <c r="C49" s="112"/>
      <c r="D49" s="112"/>
      <c r="E49" s="112"/>
      <c r="F49" s="112"/>
      <c r="G49" s="58"/>
      <c r="H49" s="64" t="s">
        <v>20</v>
      </c>
      <c r="I49" s="9">
        <f>J49</f>
        <v>1491.7035100000001</v>
      </c>
      <c r="J49" s="9">
        <v>1491.7035100000001</v>
      </c>
      <c r="K49" s="9"/>
      <c r="L49" s="9"/>
      <c r="M49" s="9"/>
      <c r="N49" s="9"/>
      <c r="O49" s="58"/>
      <c r="W49" s="182"/>
    </row>
    <row r="50" spans="1:23" ht="30.75" customHeight="1" x14ac:dyDescent="0.2">
      <c r="A50" s="30"/>
      <c r="B50" s="241"/>
      <c r="C50" s="112"/>
      <c r="D50" s="112"/>
      <c r="E50" s="112"/>
      <c r="F50" s="112"/>
      <c r="G50" s="58"/>
      <c r="H50" s="64" t="s">
        <v>208</v>
      </c>
      <c r="I50" s="9">
        <f>J50+K50+N50</f>
        <v>46.135159999999999</v>
      </c>
      <c r="J50" s="9">
        <v>46.135159999999999</v>
      </c>
      <c r="K50" s="9"/>
      <c r="L50" s="9"/>
      <c r="M50" s="9"/>
      <c r="N50" s="9"/>
      <c r="O50" s="58"/>
      <c r="W50" s="182"/>
    </row>
    <row r="51" spans="1:23" ht="30.75" customHeight="1" x14ac:dyDescent="0.2">
      <c r="A51" s="97"/>
      <c r="B51" s="230" t="s">
        <v>261</v>
      </c>
      <c r="C51" s="112"/>
      <c r="D51" s="112"/>
      <c r="E51" s="112"/>
      <c r="F51" s="112"/>
      <c r="G51" s="58" t="s">
        <v>250</v>
      </c>
      <c r="H51" s="64" t="s">
        <v>19</v>
      </c>
      <c r="I51" s="9">
        <f t="shared" ref="I51:I59" si="9">J51</f>
        <v>954.70182999999997</v>
      </c>
      <c r="J51" s="9">
        <f>J52+J53</f>
        <v>954.70182999999997</v>
      </c>
      <c r="K51" s="9"/>
      <c r="L51" s="9"/>
      <c r="M51" s="9"/>
      <c r="N51" s="9"/>
      <c r="O51" s="58"/>
      <c r="W51" s="200" t="s">
        <v>26</v>
      </c>
    </row>
    <row r="52" spans="1:23" ht="30.75" customHeight="1" x14ac:dyDescent="0.2">
      <c r="A52" s="101" t="s">
        <v>29</v>
      </c>
      <c r="B52" s="231"/>
      <c r="C52" s="112"/>
      <c r="D52" s="112"/>
      <c r="E52" s="112"/>
      <c r="F52" s="112"/>
      <c r="G52" s="58"/>
      <c r="H52" s="64" t="s">
        <v>20</v>
      </c>
      <c r="I52" s="9">
        <f t="shared" si="9"/>
        <v>926.06078000000002</v>
      </c>
      <c r="J52" s="9">
        <v>926.06078000000002</v>
      </c>
      <c r="K52" s="9"/>
      <c r="L52" s="9"/>
      <c r="M52" s="9"/>
      <c r="N52" s="9"/>
      <c r="O52" s="58"/>
      <c r="W52" s="201"/>
    </row>
    <row r="53" spans="1:23" ht="30.75" customHeight="1" x14ac:dyDescent="0.2">
      <c r="A53" s="30"/>
      <c r="B53" s="232"/>
      <c r="C53" s="112"/>
      <c r="D53" s="112"/>
      <c r="E53" s="112"/>
      <c r="F53" s="112"/>
      <c r="G53" s="58"/>
      <c r="H53" s="64" t="s">
        <v>208</v>
      </c>
      <c r="I53" s="9">
        <f t="shared" si="9"/>
        <v>28.64105</v>
      </c>
      <c r="J53" s="9">
        <v>28.64105</v>
      </c>
      <c r="K53" s="9"/>
      <c r="L53" s="9"/>
      <c r="M53" s="9"/>
      <c r="N53" s="9"/>
      <c r="O53" s="58"/>
      <c r="W53" s="207"/>
    </row>
    <row r="54" spans="1:23" ht="30.75" customHeight="1" x14ac:dyDescent="0.2">
      <c r="A54" s="98"/>
      <c r="B54" s="230" t="s">
        <v>262</v>
      </c>
      <c r="C54" s="112"/>
      <c r="D54" s="112"/>
      <c r="E54" s="112"/>
      <c r="F54" s="112"/>
      <c r="G54" s="58"/>
      <c r="H54" s="64" t="s">
        <v>19</v>
      </c>
      <c r="I54" s="9">
        <f t="shared" si="9"/>
        <v>905.51565000000005</v>
      </c>
      <c r="J54" s="9">
        <f>J55+J56</f>
        <v>905.51565000000005</v>
      </c>
      <c r="K54" s="9"/>
      <c r="L54" s="9"/>
      <c r="M54" s="9"/>
      <c r="N54" s="9"/>
      <c r="O54" s="58"/>
      <c r="W54" s="200" t="s">
        <v>26</v>
      </c>
    </row>
    <row r="55" spans="1:23" ht="30.75" customHeight="1" x14ac:dyDescent="0.2">
      <c r="A55" s="101" t="s">
        <v>30</v>
      </c>
      <c r="B55" s="231"/>
      <c r="C55" s="112"/>
      <c r="D55" s="112"/>
      <c r="E55" s="112"/>
      <c r="F55" s="112"/>
      <c r="G55" s="58"/>
      <c r="H55" s="64" t="s">
        <v>20</v>
      </c>
      <c r="I55" s="9">
        <f t="shared" si="9"/>
        <v>878.35018000000002</v>
      </c>
      <c r="J55" s="9">
        <v>878.35018000000002</v>
      </c>
      <c r="K55" s="9"/>
      <c r="L55" s="9"/>
      <c r="M55" s="9"/>
      <c r="N55" s="9"/>
      <c r="O55" s="58"/>
      <c r="W55" s="201"/>
    </row>
    <row r="56" spans="1:23" ht="30.75" customHeight="1" x14ac:dyDescent="0.2">
      <c r="A56" s="98"/>
      <c r="B56" s="232"/>
      <c r="C56" s="112"/>
      <c r="D56" s="112"/>
      <c r="E56" s="112"/>
      <c r="F56" s="112"/>
      <c r="G56" s="58"/>
      <c r="H56" s="64" t="s">
        <v>208</v>
      </c>
      <c r="I56" s="9">
        <f t="shared" si="9"/>
        <v>27.165469999999999</v>
      </c>
      <c r="J56" s="9">
        <v>27.165469999999999</v>
      </c>
      <c r="K56" s="9"/>
      <c r="L56" s="9"/>
      <c r="M56" s="9"/>
      <c r="N56" s="9"/>
      <c r="O56" s="58"/>
      <c r="W56" s="207"/>
    </row>
    <row r="57" spans="1:23" ht="30.75" customHeight="1" x14ac:dyDescent="0.2">
      <c r="A57" s="227" t="s">
        <v>44</v>
      </c>
      <c r="B57" s="230" t="s">
        <v>263</v>
      </c>
      <c r="C57" s="112"/>
      <c r="D57" s="112"/>
      <c r="E57" s="112"/>
      <c r="F57" s="112"/>
      <c r="G57" s="58"/>
      <c r="H57" s="64" t="s">
        <v>19</v>
      </c>
      <c r="I57" s="9">
        <f t="shared" si="9"/>
        <v>3944.50009</v>
      </c>
      <c r="J57" s="9">
        <f>J58+J59</f>
        <v>3944.50009</v>
      </c>
      <c r="K57" s="9"/>
      <c r="L57" s="9"/>
      <c r="M57" s="9"/>
      <c r="N57" s="9"/>
      <c r="O57" s="58"/>
      <c r="W57" s="200" t="s">
        <v>26</v>
      </c>
    </row>
    <row r="58" spans="1:23" ht="30.75" customHeight="1" x14ac:dyDescent="0.2">
      <c r="A58" s="228"/>
      <c r="B58" s="231"/>
      <c r="C58" s="112"/>
      <c r="D58" s="112"/>
      <c r="E58" s="112"/>
      <c r="F58" s="112"/>
      <c r="G58" s="58"/>
      <c r="H58" s="64" t="s">
        <v>20</v>
      </c>
      <c r="I58" s="9">
        <f t="shared" si="9"/>
        <v>3826.16507</v>
      </c>
      <c r="J58" s="9">
        <v>3826.16507</v>
      </c>
      <c r="K58" s="9"/>
      <c r="L58" s="9"/>
      <c r="M58" s="9"/>
      <c r="N58" s="9"/>
      <c r="O58" s="58"/>
      <c r="W58" s="201"/>
    </row>
    <row r="59" spans="1:23" ht="30.75" customHeight="1" x14ac:dyDescent="0.2">
      <c r="A59" s="229"/>
      <c r="B59" s="232"/>
      <c r="C59" s="112"/>
      <c r="D59" s="112"/>
      <c r="E59" s="112"/>
      <c r="F59" s="112"/>
      <c r="G59" s="58"/>
      <c r="H59" s="64" t="s">
        <v>208</v>
      </c>
      <c r="I59" s="44">
        <f t="shared" si="9"/>
        <v>118.33502</v>
      </c>
      <c r="J59" s="44">
        <v>118.33502</v>
      </c>
      <c r="K59" s="9"/>
      <c r="L59" s="9"/>
      <c r="M59" s="9"/>
      <c r="N59" s="9"/>
      <c r="O59" s="58"/>
      <c r="W59" s="207"/>
    </row>
    <row r="60" spans="1:23" ht="30.75" hidden="1" customHeight="1" x14ac:dyDescent="0.2">
      <c r="A60" s="72"/>
      <c r="B60" s="233"/>
      <c r="C60" s="73"/>
      <c r="D60" s="73"/>
      <c r="E60" s="73"/>
      <c r="F60" s="73"/>
      <c r="G60" s="74"/>
      <c r="H60" s="75"/>
      <c r="I60" s="44"/>
      <c r="J60" s="44"/>
      <c r="K60" s="44"/>
      <c r="L60" s="44"/>
      <c r="M60" s="44"/>
      <c r="N60" s="44"/>
      <c r="O60" s="58"/>
      <c r="W60" s="200"/>
    </row>
    <row r="61" spans="1:23" ht="30.75" hidden="1" customHeight="1" x14ac:dyDescent="0.2">
      <c r="A61" s="76"/>
      <c r="B61" s="234"/>
      <c r="C61" s="73"/>
      <c r="D61" s="73"/>
      <c r="E61" s="73"/>
      <c r="F61" s="73"/>
      <c r="G61" s="74"/>
      <c r="H61" s="75"/>
      <c r="I61" s="44"/>
      <c r="J61" s="44"/>
      <c r="K61" s="44"/>
      <c r="L61" s="44"/>
      <c r="M61" s="44"/>
      <c r="N61" s="44"/>
      <c r="O61" s="58"/>
      <c r="W61" s="196"/>
    </row>
    <row r="62" spans="1:23" ht="30.75" hidden="1" customHeight="1" x14ac:dyDescent="0.2">
      <c r="A62" s="77"/>
      <c r="B62" s="235"/>
      <c r="C62" s="73"/>
      <c r="D62" s="73"/>
      <c r="E62" s="73"/>
      <c r="F62" s="73"/>
      <c r="G62" s="74"/>
      <c r="H62" s="75"/>
      <c r="I62" s="44"/>
      <c r="J62" s="44"/>
      <c r="K62" s="44"/>
      <c r="L62" s="44"/>
      <c r="M62" s="44"/>
      <c r="N62" s="44"/>
      <c r="O62" s="58"/>
      <c r="W62" s="217"/>
    </row>
    <row r="63" spans="1:23" ht="30.75" hidden="1" customHeight="1" x14ac:dyDescent="0.2">
      <c r="A63" s="76"/>
      <c r="B63" s="233"/>
      <c r="C63" s="73"/>
      <c r="D63" s="73"/>
      <c r="E63" s="73"/>
      <c r="F63" s="73"/>
      <c r="G63" s="74"/>
      <c r="H63" s="75"/>
      <c r="I63" s="44"/>
      <c r="J63" s="44"/>
      <c r="K63" s="44"/>
      <c r="L63" s="44"/>
      <c r="M63" s="44"/>
      <c r="N63" s="44"/>
      <c r="O63" s="58"/>
      <c r="W63" s="200"/>
    </row>
    <row r="64" spans="1:23" ht="30.75" hidden="1" customHeight="1" x14ac:dyDescent="0.2">
      <c r="A64" s="76"/>
      <c r="B64" s="234"/>
      <c r="C64" s="73"/>
      <c r="D64" s="73"/>
      <c r="E64" s="73"/>
      <c r="F64" s="73"/>
      <c r="G64" s="74"/>
      <c r="H64" s="75"/>
      <c r="I64" s="44"/>
      <c r="J64" s="44"/>
      <c r="K64" s="44"/>
      <c r="L64" s="44"/>
      <c r="M64" s="44"/>
      <c r="N64" s="44"/>
      <c r="O64" s="58"/>
      <c r="W64" s="236"/>
    </row>
    <row r="65" spans="1:23" ht="30.75" hidden="1" customHeight="1" x14ac:dyDescent="0.2">
      <c r="A65" s="76"/>
      <c r="B65" s="235"/>
      <c r="C65" s="73"/>
      <c r="D65" s="73"/>
      <c r="E65" s="73"/>
      <c r="F65" s="73"/>
      <c r="G65" s="74"/>
      <c r="H65" s="75"/>
      <c r="I65" s="44"/>
      <c r="J65" s="44"/>
      <c r="K65" s="44"/>
      <c r="L65" s="44"/>
      <c r="M65" s="44"/>
      <c r="N65" s="44"/>
      <c r="O65" s="58"/>
      <c r="W65" s="207"/>
    </row>
    <row r="66" spans="1:23" ht="22.5" hidden="1" customHeight="1" x14ac:dyDescent="0.2">
      <c r="A66" s="227"/>
      <c r="B66" s="230"/>
      <c r="C66" s="112"/>
      <c r="D66" s="112"/>
      <c r="E66" s="112"/>
      <c r="F66" s="112"/>
      <c r="G66" s="58"/>
      <c r="H66" s="64"/>
      <c r="I66" s="44"/>
      <c r="J66" s="44"/>
      <c r="K66" s="9"/>
      <c r="L66" s="9"/>
      <c r="M66" s="9"/>
      <c r="N66" s="9"/>
      <c r="O66" s="58"/>
      <c r="W66" s="200"/>
    </row>
    <row r="67" spans="1:23" ht="22.5" hidden="1" customHeight="1" x14ac:dyDescent="0.2">
      <c r="A67" s="228"/>
      <c r="B67" s="231"/>
      <c r="C67" s="112"/>
      <c r="D67" s="112"/>
      <c r="E67" s="112"/>
      <c r="F67" s="112"/>
      <c r="G67" s="58"/>
      <c r="H67" s="64"/>
      <c r="I67" s="44"/>
      <c r="J67" s="44"/>
      <c r="K67" s="9"/>
      <c r="L67" s="9"/>
      <c r="M67" s="9"/>
      <c r="N67" s="9"/>
      <c r="O67" s="58"/>
      <c r="W67" s="201"/>
    </row>
    <row r="68" spans="1:23" ht="22.5" hidden="1" customHeight="1" x14ac:dyDescent="0.2">
      <c r="A68" s="229"/>
      <c r="B68" s="232"/>
      <c r="C68" s="112"/>
      <c r="D68" s="112"/>
      <c r="E68" s="112"/>
      <c r="F68" s="112"/>
      <c r="G68" s="58"/>
      <c r="H68" s="64"/>
      <c r="I68" s="44"/>
      <c r="J68" s="44"/>
      <c r="K68" s="9"/>
      <c r="L68" s="9"/>
      <c r="M68" s="9"/>
      <c r="N68" s="9"/>
      <c r="O68" s="58"/>
      <c r="W68" s="207"/>
    </row>
    <row r="69" spans="1:23" ht="22.5" customHeight="1" x14ac:dyDescent="0.2">
      <c r="A69" s="150"/>
      <c r="B69" s="230" t="s">
        <v>296</v>
      </c>
      <c r="C69" s="112"/>
      <c r="D69" s="112"/>
      <c r="E69" s="112"/>
      <c r="F69" s="112"/>
      <c r="G69" s="58"/>
      <c r="H69" s="64" t="s">
        <v>19</v>
      </c>
      <c r="I69" s="44">
        <f>J69</f>
        <v>189.27359999999999</v>
      </c>
      <c r="J69" s="44">
        <f>J71</f>
        <v>189.27359999999999</v>
      </c>
      <c r="K69" s="9"/>
      <c r="L69" s="9"/>
      <c r="M69" s="9"/>
      <c r="N69" s="9"/>
      <c r="O69" s="58"/>
      <c r="W69" s="200" t="s">
        <v>26</v>
      </c>
    </row>
    <row r="70" spans="1:23" ht="22.5" customHeight="1" x14ac:dyDescent="0.2">
      <c r="A70" s="151" t="s">
        <v>45</v>
      </c>
      <c r="B70" s="231"/>
      <c r="C70" s="112"/>
      <c r="D70" s="112"/>
      <c r="E70" s="112"/>
      <c r="F70" s="112"/>
      <c r="G70" s="58"/>
      <c r="H70" s="64" t="s">
        <v>20</v>
      </c>
      <c r="I70" s="44"/>
      <c r="J70" s="44"/>
      <c r="K70" s="9"/>
      <c r="L70" s="9"/>
      <c r="M70" s="9"/>
      <c r="N70" s="9"/>
      <c r="O70" s="58"/>
      <c r="W70" s="201"/>
    </row>
    <row r="71" spans="1:23" ht="22.5" customHeight="1" x14ac:dyDescent="0.2">
      <c r="A71" s="152"/>
      <c r="B71" s="232"/>
      <c r="C71" s="112"/>
      <c r="D71" s="112"/>
      <c r="E71" s="112"/>
      <c r="F71" s="112"/>
      <c r="G71" s="58"/>
      <c r="H71" s="64" t="s">
        <v>16</v>
      </c>
      <c r="I71" s="44">
        <f>J71</f>
        <v>189.27359999999999</v>
      </c>
      <c r="J71" s="44">
        <v>189.27359999999999</v>
      </c>
      <c r="K71" s="9"/>
      <c r="L71" s="9"/>
      <c r="M71" s="9"/>
      <c r="N71" s="9"/>
      <c r="O71" s="58"/>
      <c r="W71" s="207"/>
    </row>
    <row r="72" spans="1:23" ht="22.5" customHeight="1" x14ac:dyDescent="0.2">
      <c r="A72" s="101"/>
      <c r="B72" s="230" t="s">
        <v>300</v>
      </c>
      <c r="C72" s="112"/>
      <c r="D72" s="112"/>
      <c r="E72" s="112"/>
      <c r="F72" s="112"/>
      <c r="G72" s="58"/>
      <c r="H72" s="64" t="s">
        <v>19</v>
      </c>
      <c r="I72" s="44">
        <f>J72</f>
        <v>350.50560000000002</v>
      </c>
      <c r="J72" s="44">
        <f>J74</f>
        <v>350.50560000000002</v>
      </c>
      <c r="K72" s="9"/>
      <c r="L72" s="9"/>
      <c r="M72" s="9"/>
      <c r="N72" s="9"/>
      <c r="O72" s="58"/>
      <c r="W72" s="200" t="s">
        <v>26</v>
      </c>
    </row>
    <row r="73" spans="1:23" ht="22.5" customHeight="1" x14ac:dyDescent="0.2">
      <c r="A73" s="101" t="s">
        <v>196</v>
      </c>
      <c r="B73" s="231"/>
      <c r="C73" s="112"/>
      <c r="D73" s="112"/>
      <c r="E73" s="112"/>
      <c r="F73" s="112"/>
      <c r="G73" s="58"/>
      <c r="H73" s="64" t="s">
        <v>20</v>
      </c>
      <c r="I73" s="44"/>
      <c r="J73" s="44"/>
      <c r="K73" s="9"/>
      <c r="L73" s="9"/>
      <c r="M73" s="9"/>
      <c r="N73" s="9"/>
      <c r="O73" s="58"/>
      <c r="W73" s="201"/>
    </row>
    <row r="74" spans="1:23" ht="19.5" customHeight="1" x14ac:dyDescent="0.2">
      <c r="A74" s="102"/>
      <c r="B74" s="232"/>
      <c r="C74" s="112"/>
      <c r="D74" s="112"/>
      <c r="E74" s="112"/>
      <c r="F74" s="112"/>
      <c r="G74" s="58"/>
      <c r="H74" s="64" t="s">
        <v>16</v>
      </c>
      <c r="I74" s="44">
        <f>J74</f>
        <v>350.50560000000002</v>
      </c>
      <c r="J74" s="44">
        <v>350.50560000000002</v>
      </c>
      <c r="K74" s="9"/>
      <c r="L74" s="9"/>
      <c r="M74" s="9"/>
      <c r="N74" s="9"/>
      <c r="O74" s="58"/>
      <c r="W74" s="207"/>
    </row>
    <row r="75" spans="1:23" ht="22.5" hidden="1" customHeight="1" x14ac:dyDescent="0.2">
      <c r="A75" s="100"/>
      <c r="B75" s="230"/>
      <c r="C75" s="112"/>
      <c r="D75" s="112"/>
      <c r="E75" s="112"/>
      <c r="F75" s="112"/>
      <c r="G75" s="58"/>
      <c r="H75" s="64"/>
      <c r="I75" s="44"/>
      <c r="J75" s="44"/>
      <c r="K75" s="9"/>
      <c r="L75" s="9"/>
      <c r="M75" s="9"/>
      <c r="N75" s="9"/>
      <c r="O75" s="58"/>
      <c r="W75" s="200"/>
    </row>
    <row r="76" spans="1:23" ht="22.5" hidden="1" customHeight="1" x14ac:dyDescent="0.2">
      <c r="A76" s="101"/>
      <c r="B76" s="231"/>
      <c r="C76" s="112"/>
      <c r="D76" s="112"/>
      <c r="E76" s="112"/>
      <c r="F76" s="112"/>
      <c r="G76" s="58"/>
      <c r="H76" s="64"/>
      <c r="I76" s="44"/>
      <c r="J76" s="44"/>
      <c r="K76" s="9"/>
      <c r="L76" s="9"/>
      <c r="M76" s="9"/>
      <c r="N76" s="9"/>
      <c r="O76" s="58"/>
      <c r="W76" s="201"/>
    </row>
    <row r="77" spans="1:23" ht="33" hidden="1" customHeight="1" x14ac:dyDescent="0.2">
      <c r="A77" s="102"/>
      <c r="B77" s="232"/>
      <c r="C77" s="112"/>
      <c r="D77" s="112"/>
      <c r="E77" s="112"/>
      <c r="F77" s="112"/>
      <c r="G77" s="58"/>
      <c r="H77" s="64"/>
      <c r="I77" s="44"/>
      <c r="J77" s="44"/>
      <c r="K77" s="9"/>
      <c r="L77" s="9"/>
      <c r="M77" s="9"/>
      <c r="N77" s="9"/>
      <c r="O77" s="58"/>
      <c r="W77" s="207"/>
    </row>
    <row r="78" spans="1:23" s="165" customFormat="1" ht="36.75" hidden="1" customHeight="1" x14ac:dyDescent="0.2">
      <c r="A78" s="248"/>
      <c r="B78" s="242"/>
      <c r="C78" s="164"/>
      <c r="D78" s="164"/>
      <c r="E78" s="164"/>
      <c r="F78" s="164"/>
      <c r="H78" s="166"/>
      <c r="I78" s="167"/>
      <c r="J78" s="167"/>
      <c r="K78" s="167"/>
      <c r="L78" s="167"/>
      <c r="M78" s="167"/>
      <c r="N78" s="167"/>
      <c r="P78" s="168"/>
      <c r="W78" s="244"/>
    </row>
    <row r="79" spans="1:23" s="165" customFormat="1" ht="36.75" hidden="1" customHeight="1" x14ac:dyDescent="0.2">
      <c r="A79" s="249"/>
      <c r="B79" s="243"/>
      <c r="C79" s="164"/>
      <c r="D79" s="164"/>
      <c r="E79" s="164"/>
      <c r="F79" s="164"/>
      <c r="H79" s="166"/>
      <c r="I79" s="167"/>
      <c r="J79" s="167"/>
      <c r="K79" s="167"/>
      <c r="L79" s="167"/>
      <c r="M79" s="167"/>
      <c r="N79" s="167"/>
      <c r="P79" s="168"/>
      <c r="W79" s="244"/>
    </row>
    <row r="80" spans="1:23" s="165" customFormat="1" ht="36.75" hidden="1" customHeight="1" x14ac:dyDescent="0.2">
      <c r="A80" s="250"/>
      <c r="B80" s="243"/>
      <c r="C80" s="164"/>
      <c r="D80" s="164"/>
      <c r="E80" s="164"/>
      <c r="F80" s="164"/>
      <c r="H80" s="166"/>
      <c r="I80" s="167"/>
      <c r="J80" s="167"/>
      <c r="K80" s="167"/>
      <c r="L80" s="167"/>
      <c r="M80" s="167"/>
      <c r="N80" s="167"/>
      <c r="P80" s="168"/>
      <c r="W80" s="244"/>
    </row>
    <row r="81" spans="1:33" ht="19.5" customHeight="1" x14ac:dyDescent="0.2">
      <c r="A81" s="227" t="s">
        <v>258</v>
      </c>
      <c r="B81" s="245" t="s">
        <v>172</v>
      </c>
      <c r="C81" s="112"/>
      <c r="D81" s="112"/>
      <c r="E81" s="112"/>
      <c r="F81" s="112"/>
      <c r="G81" s="58"/>
      <c r="H81" s="26" t="s">
        <v>19</v>
      </c>
      <c r="I81" s="9">
        <f>M81</f>
        <v>1285.3608247422681</v>
      </c>
      <c r="J81" s="9"/>
      <c r="K81" s="9"/>
      <c r="L81" s="33"/>
      <c r="M81" s="9">
        <f>M82+M83</f>
        <v>1285.3608247422681</v>
      </c>
      <c r="N81" s="9"/>
      <c r="O81" s="58"/>
      <c r="W81" s="200" t="s">
        <v>26</v>
      </c>
    </row>
    <row r="82" spans="1:33" ht="25.5" customHeight="1" x14ac:dyDescent="0.2">
      <c r="A82" s="228"/>
      <c r="B82" s="246"/>
      <c r="C82" s="112"/>
      <c r="D82" s="112"/>
      <c r="E82" s="112"/>
      <c r="F82" s="112"/>
      <c r="G82" s="58"/>
      <c r="H82" s="26" t="s">
        <v>20</v>
      </c>
      <c r="I82" s="9">
        <f>M82</f>
        <v>1246.8</v>
      </c>
      <c r="J82" s="9"/>
      <c r="K82" s="9"/>
      <c r="L82" s="33"/>
      <c r="M82" s="9">
        <v>1246.8</v>
      </c>
      <c r="N82" s="9"/>
      <c r="O82" s="58"/>
      <c r="W82" s="201"/>
    </row>
    <row r="83" spans="1:33" ht="31.5" customHeight="1" x14ac:dyDescent="0.25">
      <c r="A83" s="229"/>
      <c r="B83" s="247"/>
      <c r="C83" s="112"/>
      <c r="D83" s="112"/>
      <c r="E83" s="112"/>
      <c r="F83" s="112"/>
      <c r="G83" s="58"/>
      <c r="H83" s="26" t="s">
        <v>208</v>
      </c>
      <c r="I83" s="9">
        <f>M83</f>
        <v>38.560824742268039</v>
      </c>
      <c r="J83" s="9"/>
      <c r="K83" s="9"/>
      <c r="L83" s="33"/>
      <c r="M83" s="9">
        <f>M82*3%/97%</f>
        <v>38.560824742268039</v>
      </c>
      <c r="N83" s="9"/>
      <c r="O83" s="58"/>
      <c r="W83" s="207"/>
      <c r="AG83" s="62"/>
    </row>
    <row r="84" spans="1:33" ht="25.5" customHeight="1" x14ac:dyDescent="0.2">
      <c r="A84" s="227" t="s">
        <v>197</v>
      </c>
      <c r="B84" s="245" t="s">
        <v>173</v>
      </c>
      <c r="C84" s="112"/>
      <c r="D84" s="112"/>
      <c r="E84" s="112"/>
      <c r="F84" s="112"/>
      <c r="G84" s="58"/>
      <c r="H84" s="26" t="s">
        <v>19</v>
      </c>
      <c r="I84" s="9">
        <f t="shared" ref="I84:I86" si="10">L84</f>
        <v>2699.9998000000001</v>
      </c>
      <c r="J84" s="9"/>
      <c r="K84" s="9"/>
      <c r="L84" s="9">
        <f>L85+L86</f>
        <v>2699.9998000000001</v>
      </c>
      <c r="M84" s="9"/>
      <c r="N84" s="9"/>
      <c r="O84" s="58"/>
      <c r="W84" s="200" t="s">
        <v>26</v>
      </c>
    </row>
    <row r="85" spans="1:33" ht="25.5" customHeight="1" x14ac:dyDescent="0.2">
      <c r="A85" s="228"/>
      <c r="B85" s="246"/>
      <c r="C85" s="112"/>
      <c r="D85" s="112"/>
      <c r="E85" s="112"/>
      <c r="F85" s="112"/>
      <c r="G85" s="58"/>
      <c r="H85" s="26" t="s">
        <v>20</v>
      </c>
      <c r="I85" s="9">
        <f t="shared" si="10"/>
        <v>2619</v>
      </c>
      <c r="J85" s="9"/>
      <c r="K85" s="9"/>
      <c r="L85" s="9">
        <v>2619</v>
      </c>
      <c r="M85" s="9"/>
      <c r="N85" s="9"/>
      <c r="O85" s="58"/>
      <c r="W85" s="201"/>
    </row>
    <row r="86" spans="1:33" ht="36" customHeight="1" x14ac:dyDescent="0.2">
      <c r="A86" s="229"/>
      <c r="B86" s="247"/>
      <c r="C86" s="112"/>
      <c r="D86" s="112"/>
      <c r="E86" s="112"/>
      <c r="F86" s="112"/>
      <c r="G86" s="58"/>
      <c r="H86" s="26" t="s">
        <v>208</v>
      </c>
      <c r="I86" s="9">
        <f t="shared" si="10"/>
        <v>80.999799999999993</v>
      </c>
      <c r="J86" s="9"/>
      <c r="K86" s="9"/>
      <c r="L86" s="9">
        <f>81-0.0002</f>
        <v>80.999799999999993</v>
      </c>
      <c r="M86" s="9"/>
      <c r="N86" s="9"/>
      <c r="O86" s="58"/>
      <c r="W86" s="207"/>
    </row>
    <row r="87" spans="1:33" ht="31.5" customHeight="1" x14ac:dyDescent="0.2">
      <c r="A87" s="200" t="s">
        <v>234</v>
      </c>
      <c r="B87" s="222" t="s">
        <v>174</v>
      </c>
      <c r="C87" s="112"/>
      <c r="D87" s="112"/>
      <c r="E87" s="112"/>
      <c r="F87" s="112"/>
      <c r="G87" s="58"/>
      <c r="H87" s="26" t="s">
        <v>19</v>
      </c>
      <c r="I87" s="9">
        <f t="shared" ref="I87:I92" si="11">M87</f>
        <v>1494.8453608247423</v>
      </c>
      <c r="J87" s="9"/>
      <c r="K87" s="9"/>
      <c r="L87" s="44"/>
      <c r="M87" s="44">
        <f>M88+M89</f>
        <v>1494.8453608247423</v>
      </c>
      <c r="N87" s="44"/>
      <c r="O87" s="58"/>
      <c r="W87" s="200" t="s">
        <v>26</v>
      </c>
    </row>
    <row r="88" spans="1:33" ht="31.5" customHeight="1" x14ac:dyDescent="0.2">
      <c r="A88" s="201"/>
      <c r="B88" s="223"/>
      <c r="C88" s="112"/>
      <c r="D88" s="112"/>
      <c r="E88" s="112"/>
      <c r="F88" s="112"/>
      <c r="G88" s="58"/>
      <c r="H88" s="26" t="s">
        <v>20</v>
      </c>
      <c r="I88" s="9">
        <f t="shared" si="11"/>
        <v>1450</v>
      </c>
      <c r="J88" s="9"/>
      <c r="K88" s="9"/>
      <c r="L88" s="44"/>
      <c r="M88" s="44">
        <v>1450</v>
      </c>
      <c r="N88" s="44"/>
      <c r="O88" s="58"/>
      <c r="W88" s="196"/>
    </row>
    <row r="89" spans="1:33" ht="31.5" customHeight="1" x14ac:dyDescent="0.2">
      <c r="A89" s="207"/>
      <c r="B89" s="251"/>
      <c r="C89" s="112"/>
      <c r="D89" s="112"/>
      <c r="E89" s="112"/>
      <c r="F89" s="112"/>
      <c r="G89" s="58"/>
      <c r="H89" s="26" t="s">
        <v>208</v>
      </c>
      <c r="I89" s="9">
        <f t="shared" si="11"/>
        <v>44.845360824742272</v>
      </c>
      <c r="J89" s="9"/>
      <c r="K89" s="25"/>
      <c r="L89" s="44"/>
      <c r="M89" s="44">
        <f>M88*3%/97%</f>
        <v>44.845360824742272</v>
      </c>
      <c r="N89" s="44"/>
      <c r="O89" s="58"/>
      <c r="W89" s="217"/>
    </row>
    <row r="90" spans="1:33" ht="29.25" customHeight="1" x14ac:dyDescent="0.2">
      <c r="A90" s="103"/>
      <c r="B90" s="222" t="s">
        <v>175</v>
      </c>
      <c r="C90" s="112"/>
      <c r="D90" s="112"/>
      <c r="E90" s="112"/>
      <c r="F90" s="112"/>
      <c r="G90" s="58"/>
      <c r="H90" s="26" t="s">
        <v>19</v>
      </c>
      <c r="I90" s="9">
        <f t="shared" si="11"/>
        <v>2536.0822742268042</v>
      </c>
      <c r="J90" s="9"/>
      <c r="K90" s="25"/>
      <c r="L90" s="44"/>
      <c r="M90" s="44">
        <f>M91+M92</f>
        <v>2536.0822742268042</v>
      </c>
      <c r="N90" s="44"/>
      <c r="O90" s="58"/>
      <c r="W90" s="252" t="s">
        <v>26</v>
      </c>
    </row>
    <row r="91" spans="1:33" ht="31.5" customHeight="1" x14ac:dyDescent="0.2">
      <c r="A91" s="163" t="s">
        <v>259</v>
      </c>
      <c r="B91" s="223"/>
      <c r="C91" s="112"/>
      <c r="D91" s="112"/>
      <c r="E91" s="112"/>
      <c r="F91" s="112"/>
      <c r="G91" s="58"/>
      <c r="H91" s="26" t="s">
        <v>20</v>
      </c>
      <c r="I91" s="9">
        <f t="shared" si="11"/>
        <v>2460</v>
      </c>
      <c r="J91" s="9"/>
      <c r="K91" s="25"/>
      <c r="L91" s="44"/>
      <c r="M91" s="44">
        <v>2460</v>
      </c>
      <c r="N91" s="44"/>
      <c r="O91" s="58"/>
      <c r="W91" s="208"/>
    </row>
    <row r="92" spans="1:33" ht="31.5" customHeight="1" x14ac:dyDescent="0.2">
      <c r="A92" s="105"/>
      <c r="B92" s="251"/>
      <c r="C92" s="112"/>
      <c r="D92" s="112"/>
      <c r="E92" s="112"/>
      <c r="F92" s="112"/>
      <c r="G92" s="58"/>
      <c r="H92" s="26" t="s">
        <v>208</v>
      </c>
      <c r="I92" s="9">
        <f t="shared" si="11"/>
        <v>76.082274226804117</v>
      </c>
      <c r="J92" s="9"/>
      <c r="K92" s="25"/>
      <c r="L92" s="44"/>
      <c r="M92" s="44">
        <f>M91*3%/97%-0.0002</f>
        <v>76.082274226804117</v>
      </c>
      <c r="N92" s="44"/>
      <c r="O92" s="58"/>
      <c r="W92" s="209"/>
    </row>
    <row r="93" spans="1:33" ht="31.5" customHeight="1" x14ac:dyDescent="0.2">
      <c r="A93" s="182" t="s">
        <v>260</v>
      </c>
      <c r="B93" s="222" t="s">
        <v>226</v>
      </c>
      <c r="C93" s="112"/>
      <c r="D93" s="112"/>
      <c r="E93" s="112"/>
      <c r="F93" s="112"/>
      <c r="G93" s="58"/>
      <c r="H93" s="64" t="s">
        <v>19</v>
      </c>
      <c r="I93" s="9">
        <f>M93</f>
        <v>270</v>
      </c>
      <c r="J93" s="9"/>
      <c r="K93" s="25"/>
      <c r="L93" s="9"/>
      <c r="M93" s="9">
        <f>M95</f>
        <v>270</v>
      </c>
      <c r="N93" s="9"/>
      <c r="O93" s="58"/>
      <c r="W93" s="252" t="s">
        <v>26</v>
      </c>
    </row>
    <row r="94" spans="1:33" ht="31.5" customHeight="1" x14ac:dyDescent="0.2">
      <c r="A94" s="182"/>
      <c r="B94" s="223"/>
      <c r="C94" s="112"/>
      <c r="D94" s="112"/>
      <c r="E94" s="112"/>
      <c r="F94" s="112"/>
      <c r="G94" s="58"/>
      <c r="H94" s="64" t="s">
        <v>20</v>
      </c>
      <c r="I94" s="9"/>
      <c r="J94" s="9"/>
      <c r="K94" s="25"/>
      <c r="L94" s="9"/>
      <c r="M94" s="9"/>
      <c r="N94" s="9"/>
      <c r="O94" s="58"/>
      <c r="W94" s="208"/>
    </row>
    <row r="95" spans="1:33" ht="31.5" customHeight="1" x14ac:dyDescent="0.2">
      <c r="A95" s="182"/>
      <c r="B95" s="251"/>
      <c r="C95" s="112"/>
      <c r="D95" s="112"/>
      <c r="E95" s="112"/>
      <c r="F95" s="112"/>
      <c r="G95" s="58"/>
      <c r="H95" s="64" t="s">
        <v>16</v>
      </c>
      <c r="I95" s="9">
        <f>M95</f>
        <v>270</v>
      </c>
      <c r="J95" s="9"/>
      <c r="K95" s="25"/>
      <c r="L95" s="9"/>
      <c r="M95" s="9">
        <v>270</v>
      </c>
      <c r="N95" s="9"/>
      <c r="O95" s="58"/>
      <c r="W95" s="209"/>
    </row>
    <row r="96" spans="1:33" ht="31.5" customHeight="1" x14ac:dyDescent="0.2">
      <c r="A96" s="201" t="s">
        <v>297</v>
      </c>
      <c r="B96" s="222" t="s">
        <v>176</v>
      </c>
      <c r="C96" s="112"/>
      <c r="D96" s="112"/>
      <c r="E96" s="112"/>
      <c r="F96" s="112"/>
      <c r="G96" s="58"/>
      <c r="H96" s="26" t="s">
        <v>19</v>
      </c>
      <c r="I96" s="9">
        <f>N96</f>
        <v>2810</v>
      </c>
      <c r="J96" s="9"/>
      <c r="K96" s="25"/>
      <c r="L96" s="44"/>
      <c r="M96" s="44"/>
      <c r="N96" s="44">
        <f>N97+N98</f>
        <v>2810</v>
      </c>
      <c r="O96" s="58"/>
      <c r="W96" s="252" t="s">
        <v>26</v>
      </c>
    </row>
    <row r="97" spans="1:23" ht="31.5" customHeight="1" x14ac:dyDescent="0.2">
      <c r="A97" s="236"/>
      <c r="B97" s="223"/>
      <c r="C97" s="112"/>
      <c r="D97" s="112"/>
      <c r="E97" s="112"/>
      <c r="F97" s="112"/>
      <c r="G97" s="58"/>
      <c r="H97" s="26" t="s">
        <v>20</v>
      </c>
      <c r="I97" s="9">
        <f>N97</f>
        <v>2725.7</v>
      </c>
      <c r="J97" s="9"/>
      <c r="K97" s="25"/>
      <c r="L97" s="44"/>
      <c r="M97" s="44"/>
      <c r="N97" s="44">
        <v>2725.7</v>
      </c>
      <c r="O97" s="58"/>
      <c r="W97" s="208"/>
    </row>
    <row r="98" spans="1:23" ht="31.5" customHeight="1" x14ac:dyDescent="0.2">
      <c r="A98" s="207"/>
      <c r="B98" s="251"/>
      <c r="C98" s="112"/>
      <c r="D98" s="112"/>
      <c r="E98" s="112"/>
      <c r="F98" s="112"/>
      <c r="G98" s="58"/>
      <c r="H98" s="26" t="s">
        <v>208</v>
      </c>
      <c r="I98" s="9">
        <f>N98</f>
        <v>84.3</v>
      </c>
      <c r="J98" s="9"/>
      <c r="K98" s="25"/>
      <c r="L98" s="44"/>
      <c r="M98" s="44"/>
      <c r="N98" s="44">
        <v>84.3</v>
      </c>
      <c r="O98" s="58"/>
      <c r="W98" s="209"/>
    </row>
    <row r="99" spans="1:23" ht="18" customHeight="1" x14ac:dyDescent="0.2">
      <c r="A99" s="200" t="s">
        <v>33</v>
      </c>
      <c r="B99" s="218" t="s">
        <v>31</v>
      </c>
      <c r="C99" s="112"/>
      <c r="D99" s="112"/>
      <c r="E99" s="112"/>
      <c r="F99" s="112"/>
      <c r="G99" s="58"/>
      <c r="H99" s="15" t="s">
        <v>19</v>
      </c>
      <c r="I99" s="11">
        <f>J99+K99+L99+M99+N99</f>
        <v>22348.088847422681</v>
      </c>
      <c r="J99" s="22">
        <f>J100+J101</f>
        <v>6010.0085999999992</v>
      </c>
      <c r="K99" s="22">
        <f>K100+K101</f>
        <v>10309.278350515464</v>
      </c>
      <c r="L99" s="59">
        <f>L100+L101</f>
        <v>3510.8018969072164</v>
      </c>
      <c r="M99" s="59">
        <f>M100+M101</f>
        <v>390</v>
      </c>
      <c r="N99" s="59">
        <f>N100+N101</f>
        <v>2128</v>
      </c>
      <c r="O99" s="58"/>
      <c r="W99" s="200"/>
    </row>
    <row r="100" spans="1:23" ht="29.25" customHeight="1" x14ac:dyDescent="0.2">
      <c r="A100" s="201"/>
      <c r="B100" s="219"/>
      <c r="C100" s="112"/>
      <c r="D100" s="112"/>
      <c r="E100" s="112"/>
      <c r="F100" s="112"/>
      <c r="G100" s="58"/>
      <c r="H100" s="15" t="s">
        <v>20</v>
      </c>
      <c r="I100" s="11">
        <f>I103+I118+I124+I112+I115</f>
        <v>21002.20752</v>
      </c>
      <c r="J100" s="22">
        <f>J118+J103+J112</f>
        <v>5532.5696799999996</v>
      </c>
      <c r="K100" s="22">
        <f>K115</f>
        <v>10000</v>
      </c>
      <c r="L100" s="59">
        <f>L118</f>
        <v>3405.47784</v>
      </c>
      <c r="M100" s="59">
        <v>0</v>
      </c>
      <c r="N100" s="59">
        <f>N124</f>
        <v>2064.16</v>
      </c>
      <c r="O100" s="58"/>
      <c r="W100" s="201"/>
    </row>
    <row r="101" spans="1:23" ht="51.75" customHeight="1" x14ac:dyDescent="0.2">
      <c r="A101" s="201"/>
      <c r="B101" s="219"/>
      <c r="C101" s="112"/>
      <c r="D101" s="112"/>
      <c r="E101" s="112"/>
      <c r="F101" s="112"/>
      <c r="G101" s="58"/>
      <c r="H101" s="63" t="s">
        <v>233</v>
      </c>
      <c r="I101" s="22">
        <f>I104+I119+I125+I107+I122+I110+I113+I116</f>
        <v>1345.8813274226804</v>
      </c>
      <c r="J101" s="22">
        <f>J119+J104+J107+J110+J113</f>
        <v>477.43892000000005</v>
      </c>
      <c r="K101" s="22">
        <f>K116</f>
        <v>309.2783505154639</v>
      </c>
      <c r="L101" s="59">
        <f>L119</f>
        <v>105.32405690721649</v>
      </c>
      <c r="M101" s="59">
        <f>M122</f>
        <v>390</v>
      </c>
      <c r="N101" s="59">
        <f>N125</f>
        <v>63.84</v>
      </c>
      <c r="O101" s="58"/>
      <c r="W101" s="201"/>
    </row>
    <row r="102" spans="1:23" ht="27" customHeight="1" x14ac:dyDescent="0.2">
      <c r="A102" s="200" t="s">
        <v>105</v>
      </c>
      <c r="B102" s="253" t="s">
        <v>251</v>
      </c>
      <c r="C102" s="112"/>
      <c r="D102" s="112"/>
      <c r="E102" s="112"/>
      <c r="F102" s="112"/>
      <c r="G102" s="58"/>
      <c r="H102" s="64" t="s">
        <v>19</v>
      </c>
      <c r="I102" s="23">
        <f t="shared" ref="I102:I104" si="12">J102</f>
        <v>5703.6800799999992</v>
      </c>
      <c r="J102" s="23">
        <f>J103+J104</f>
        <v>5703.6800799999992</v>
      </c>
      <c r="K102" s="22"/>
      <c r="L102" s="22"/>
      <c r="M102" s="22"/>
      <c r="N102" s="22"/>
      <c r="O102" s="58"/>
      <c r="W102" s="200" t="s">
        <v>26</v>
      </c>
    </row>
    <row r="103" spans="1:23" ht="27" customHeight="1" x14ac:dyDescent="0.2">
      <c r="A103" s="201"/>
      <c r="B103" s="253"/>
      <c r="C103" s="112"/>
      <c r="D103" s="112"/>
      <c r="E103" s="112"/>
      <c r="F103" s="112"/>
      <c r="G103" s="58"/>
      <c r="H103" s="64" t="s">
        <v>20</v>
      </c>
      <c r="I103" s="23">
        <f t="shared" si="12"/>
        <v>5532.5696799999996</v>
      </c>
      <c r="J103" s="23">
        <v>5532.5696799999996</v>
      </c>
      <c r="K103" s="22"/>
      <c r="L103" s="22"/>
      <c r="M103" s="22"/>
      <c r="N103" s="22"/>
      <c r="O103" s="58"/>
      <c r="W103" s="201"/>
    </row>
    <row r="104" spans="1:23" ht="35.25" customHeight="1" x14ac:dyDescent="0.2">
      <c r="A104" s="207"/>
      <c r="B104" s="253"/>
      <c r="C104" s="112"/>
      <c r="D104" s="112"/>
      <c r="E104" s="112"/>
      <c r="F104" s="112"/>
      <c r="G104" s="58"/>
      <c r="H104" s="64" t="s">
        <v>208</v>
      </c>
      <c r="I104" s="23">
        <f t="shared" si="12"/>
        <v>171.1104</v>
      </c>
      <c r="J104" s="23">
        <v>171.1104</v>
      </c>
      <c r="K104" s="22"/>
      <c r="L104" s="22"/>
      <c r="M104" s="22"/>
      <c r="N104" s="22"/>
      <c r="O104" s="58"/>
      <c r="W104" s="201"/>
    </row>
    <row r="105" spans="1:23" ht="0.75" customHeight="1" x14ac:dyDescent="0.2">
      <c r="A105" s="200"/>
      <c r="B105" s="222"/>
      <c r="C105" s="112"/>
      <c r="D105" s="112"/>
      <c r="E105" s="112"/>
      <c r="F105" s="112"/>
      <c r="G105" s="58"/>
      <c r="H105" s="64"/>
      <c r="I105" s="23"/>
      <c r="J105" s="23"/>
      <c r="K105" s="22"/>
      <c r="L105" s="22"/>
      <c r="M105" s="22"/>
      <c r="N105" s="22"/>
      <c r="O105" s="58"/>
      <c r="W105" s="200"/>
    </row>
    <row r="106" spans="1:23" ht="27" hidden="1" customHeight="1" x14ac:dyDescent="0.2">
      <c r="A106" s="201"/>
      <c r="B106" s="223"/>
      <c r="C106" s="112"/>
      <c r="D106" s="112"/>
      <c r="E106" s="112"/>
      <c r="F106" s="112"/>
      <c r="G106" s="58"/>
      <c r="H106" s="64"/>
      <c r="I106" s="23"/>
      <c r="J106" s="23"/>
      <c r="K106" s="22"/>
      <c r="L106" s="22"/>
      <c r="M106" s="22"/>
      <c r="N106" s="22"/>
      <c r="O106" s="58"/>
      <c r="W106" s="201"/>
    </row>
    <row r="107" spans="1:23" ht="27" hidden="1" customHeight="1" x14ac:dyDescent="0.2">
      <c r="A107" s="207"/>
      <c r="B107" s="251"/>
      <c r="C107" s="112"/>
      <c r="D107" s="112"/>
      <c r="E107" s="112"/>
      <c r="F107" s="112"/>
      <c r="G107" s="58"/>
      <c r="H107" s="64"/>
      <c r="I107" s="23"/>
      <c r="J107" s="23"/>
      <c r="K107" s="22"/>
      <c r="L107" s="22"/>
      <c r="M107" s="22"/>
      <c r="N107" s="22"/>
      <c r="O107" s="58"/>
      <c r="W107" s="207"/>
    </row>
    <row r="108" spans="1:23" ht="27" customHeight="1" x14ac:dyDescent="0.2">
      <c r="A108" s="89"/>
      <c r="B108" s="131"/>
      <c r="C108" s="73"/>
      <c r="D108" s="73"/>
      <c r="E108" s="73"/>
      <c r="F108" s="73"/>
      <c r="G108" s="74"/>
      <c r="H108" s="75" t="s">
        <v>19</v>
      </c>
      <c r="I108" s="85">
        <f>J108</f>
        <v>306.32852000000003</v>
      </c>
      <c r="J108" s="85">
        <f>J110</f>
        <v>306.32852000000003</v>
      </c>
      <c r="K108" s="59"/>
      <c r="L108" s="22"/>
      <c r="M108" s="22"/>
      <c r="N108" s="22"/>
      <c r="O108" s="58"/>
      <c r="W108" s="200" t="s">
        <v>26</v>
      </c>
    </row>
    <row r="109" spans="1:23" ht="33" customHeight="1" x14ac:dyDescent="0.2">
      <c r="A109" s="88" t="s">
        <v>34</v>
      </c>
      <c r="B109" s="86" t="s">
        <v>298</v>
      </c>
      <c r="C109" s="73"/>
      <c r="D109" s="73"/>
      <c r="E109" s="73"/>
      <c r="F109" s="73"/>
      <c r="G109" s="74"/>
      <c r="H109" s="75" t="s">
        <v>20</v>
      </c>
      <c r="I109" s="85"/>
      <c r="J109" s="85"/>
      <c r="K109" s="59"/>
      <c r="L109" s="22"/>
      <c r="M109" s="22"/>
      <c r="N109" s="22"/>
      <c r="O109" s="58"/>
      <c r="W109" s="236"/>
    </row>
    <row r="110" spans="1:23" ht="27" customHeight="1" x14ac:dyDescent="0.2">
      <c r="A110" s="90"/>
      <c r="B110" s="132"/>
      <c r="C110" s="73"/>
      <c r="D110" s="73"/>
      <c r="E110" s="73"/>
      <c r="F110" s="73"/>
      <c r="G110" s="74"/>
      <c r="H110" s="75" t="s">
        <v>16</v>
      </c>
      <c r="I110" s="85">
        <f>J110</f>
        <v>306.32852000000003</v>
      </c>
      <c r="J110" s="85">
        <v>306.32852000000003</v>
      </c>
      <c r="K110" s="59"/>
      <c r="L110" s="22"/>
      <c r="M110" s="22"/>
      <c r="N110" s="22"/>
      <c r="O110" s="58"/>
      <c r="W110" s="207"/>
    </row>
    <row r="111" spans="1:23" ht="27" hidden="1" customHeight="1" x14ac:dyDescent="0.2">
      <c r="A111" s="88"/>
      <c r="B111" s="183"/>
      <c r="C111" s="73"/>
      <c r="D111" s="73"/>
      <c r="E111" s="73"/>
      <c r="F111" s="73"/>
      <c r="G111" s="74"/>
      <c r="H111" s="75"/>
      <c r="I111" s="85"/>
      <c r="J111" s="85"/>
      <c r="K111" s="59"/>
      <c r="L111" s="22"/>
      <c r="M111" s="22"/>
      <c r="N111" s="22"/>
      <c r="O111" s="58"/>
      <c r="W111" s="200"/>
    </row>
    <row r="112" spans="1:23" ht="27" hidden="1" customHeight="1" x14ac:dyDescent="0.2">
      <c r="A112" s="88"/>
      <c r="B112" s="223"/>
      <c r="C112" s="73"/>
      <c r="D112" s="73"/>
      <c r="E112" s="73"/>
      <c r="F112" s="73"/>
      <c r="G112" s="74"/>
      <c r="H112" s="75"/>
      <c r="I112" s="85"/>
      <c r="J112" s="85"/>
      <c r="K112" s="59"/>
      <c r="L112" s="22"/>
      <c r="M112" s="22"/>
      <c r="N112" s="22"/>
      <c r="O112" s="58"/>
      <c r="W112" s="201"/>
    </row>
    <row r="113" spans="1:23" ht="39.75" hidden="1" customHeight="1" x14ac:dyDescent="0.2">
      <c r="A113" s="88"/>
      <c r="B113" s="185"/>
      <c r="C113" s="73"/>
      <c r="D113" s="73"/>
      <c r="E113" s="73"/>
      <c r="F113" s="73"/>
      <c r="G113" s="74"/>
      <c r="H113" s="64"/>
      <c r="I113" s="85"/>
      <c r="J113" s="85"/>
      <c r="K113" s="59"/>
      <c r="L113" s="22"/>
      <c r="M113" s="22"/>
      <c r="N113" s="22"/>
      <c r="O113" s="58"/>
      <c r="W113" s="207"/>
    </row>
    <row r="114" spans="1:23" ht="28.5" customHeight="1" x14ac:dyDescent="0.2">
      <c r="A114" s="186" t="s">
        <v>132</v>
      </c>
      <c r="B114" s="183" t="s">
        <v>328</v>
      </c>
      <c r="C114" s="90"/>
      <c r="D114" s="90"/>
      <c r="E114" s="90"/>
      <c r="F114" s="90"/>
      <c r="G114" s="74"/>
      <c r="H114" s="64" t="s">
        <v>19</v>
      </c>
      <c r="I114" s="9">
        <f>J114+K114+N114</f>
        <v>10309.278350515464</v>
      </c>
      <c r="J114" s="9"/>
      <c r="K114" s="9">
        <f>K115+K116</f>
        <v>10309.278350515464</v>
      </c>
      <c r="L114" s="9"/>
      <c r="M114" s="9"/>
      <c r="N114" s="9"/>
      <c r="O114" s="58"/>
      <c r="W114" s="182" t="s">
        <v>26</v>
      </c>
    </row>
    <row r="115" spans="1:23" ht="26.25" customHeight="1" x14ac:dyDescent="0.2">
      <c r="A115" s="186"/>
      <c r="B115" s="184"/>
      <c r="C115" s="90"/>
      <c r="D115" s="90"/>
      <c r="E115" s="90"/>
      <c r="F115" s="90"/>
      <c r="G115" s="74"/>
      <c r="H115" s="64" t="s">
        <v>20</v>
      </c>
      <c r="I115" s="9">
        <f>J115+K115+N115</f>
        <v>10000</v>
      </c>
      <c r="J115" s="9"/>
      <c r="K115" s="9">
        <v>10000</v>
      </c>
      <c r="L115" s="9"/>
      <c r="M115" s="9"/>
      <c r="N115" s="9"/>
      <c r="O115" s="58"/>
      <c r="W115" s="182"/>
    </row>
    <row r="116" spans="1:23" ht="39.75" customHeight="1" x14ac:dyDescent="0.2">
      <c r="A116" s="187"/>
      <c r="B116" s="185"/>
      <c r="C116" s="90"/>
      <c r="D116" s="90"/>
      <c r="E116" s="90"/>
      <c r="F116" s="90"/>
      <c r="G116" s="74"/>
      <c r="H116" s="64" t="s">
        <v>208</v>
      </c>
      <c r="I116" s="9">
        <f>J116+K116+N116</f>
        <v>309.2783505154639</v>
      </c>
      <c r="J116" s="9"/>
      <c r="K116" s="9">
        <f>K115*3%/97%</f>
        <v>309.2783505154639</v>
      </c>
      <c r="L116" s="9"/>
      <c r="M116" s="9"/>
      <c r="N116" s="9"/>
      <c r="O116" s="58"/>
      <c r="W116" s="182"/>
    </row>
    <row r="117" spans="1:23" ht="21" customHeight="1" x14ac:dyDescent="0.2">
      <c r="A117" s="200" t="s">
        <v>35</v>
      </c>
      <c r="B117" s="222" t="s">
        <v>222</v>
      </c>
      <c r="C117" s="105"/>
      <c r="D117" s="105"/>
      <c r="E117" s="105"/>
      <c r="F117" s="105"/>
      <c r="G117" s="58"/>
      <c r="H117" s="64" t="s">
        <v>19</v>
      </c>
      <c r="I117" s="9">
        <f>L117</f>
        <v>3510.8018969072164</v>
      </c>
      <c r="J117" s="20"/>
      <c r="K117" s="9"/>
      <c r="L117" s="9">
        <f>L118+L119</f>
        <v>3510.8018969072164</v>
      </c>
      <c r="M117" s="9"/>
      <c r="N117" s="9"/>
      <c r="O117" s="58"/>
      <c r="W117" s="200" t="s">
        <v>26</v>
      </c>
    </row>
    <row r="118" spans="1:23" ht="21" customHeight="1" x14ac:dyDescent="0.2">
      <c r="A118" s="201"/>
      <c r="B118" s="223"/>
      <c r="C118" s="105"/>
      <c r="D118" s="105"/>
      <c r="E118" s="105"/>
      <c r="F118" s="105"/>
      <c r="G118" s="58"/>
      <c r="H118" s="64" t="s">
        <v>20</v>
      </c>
      <c r="I118" s="9">
        <f>L118</f>
        <v>3405.47784</v>
      </c>
      <c r="J118" s="20"/>
      <c r="K118" s="9"/>
      <c r="L118" s="9">
        <v>3405.47784</v>
      </c>
      <c r="M118" s="9"/>
      <c r="N118" s="9"/>
      <c r="O118" s="58"/>
      <c r="W118" s="201"/>
    </row>
    <row r="119" spans="1:23" ht="32.25" customHeight="1" x14ac:dyDescent="0.2">
      <c r="A119" s="201"/>
      <c r="B119" s="223"/>
      <c r="C119" s="112"/>
      <c r="D119" s="112"/>
      <c r="E119" s="112"/>
      <c r="F119" s="112"/>
      <c r="G119" s="58"/>
      <c r="H119" s="64" t="s">
        <v>208</v>
      </c>
      <c r="I119" s="9">
        <f>L119</f>
        <v>105.32405690721649</v>
      </c>
      <c r="J119" s="20"/>
      <c r="K119" s="9"/>
      <c r="L119" s="9">
        <f>L118*3%/97%</f>
        <v>105.32405690721649</v>
      </c>
      <c r="M119" s="9"/>
      <c r="N119" s="9"/>
      <c r="O119" s="58"/>
      <c r="W119" s="201"/>
    </row>
    <row r="120" spans="1:23" ht="18" customHeight="1" x14ac:dyDescent="0.2">
      <c r="A120" s="200" t="s">
        <v>201</v>
      </c>
      <c r="B120" s="222" t="s">
        <v>227</v>
      </c>
      <c r="C120" s="103"/>
      <c r="D120" s="103"/>
      <c r="E120" s="103"/>
      <c r="F120" s="103"/>
      <c r="G120" s="58"/>
      <c r="H120" s="64" t="s">
        <v>19</v>
      </c>
      <c r="I120" s="9">
        <f>M120</f>
        <v>390</v>
      </c>
      <c r="J120" s="20"/>
      <c r="K120" s="9"/>
      <c r="L120" s="9"/>
      <c r="M120" s="9">
        <f>M122</f>
        <v>390</v>
      </c>
      <c r="N120" s="9"/>
      <c r="O120" s="58"/>
      <c r="W120" s="201"/>
    </row>
    <row r="121" spans="1:23" ht="18" customHeight="1" x14ac:dyDescent="0.2">
      <c r="A121" s="201"/>
      <c r="B121" s="223"/>
      <c r="C121" s="103"/>
      <c r="D121" s="103"/>
      <c r="E121" s="103"/>
      <c r="F121" s="103"/>
      <c r="G121" s="58"/>
      <c r="H121" s="64" t="s">
        <v>20</v>
      </c>
      <c r="I121" s="9"/>
      <c r="J121" s="20"/>
      <c r="K121" s="9"/>
      <c r="L121" s="9"/>
      <c r="M121" s="9"/>
      <c r="N121" s="9"/>
      <c r="O121" s="58"/>
      <c r="W121" s="201"/>
    </row>
    <row r="122" spans="1:23" ht="18" customHeight="1" x14ac:dyDescent="0.2">
      <c r="A122" s="201"/>
      <c r="B122" s="251"/>
      <c r="C122" s="103"/>
      <c r="D122" s="103"/>
      <c r="E122" s="103"/>
      <c r="F122" s="103"/>
      <c r="G122" s="58"/>
      <c r="H122" s="64" t="s">
        <v>16</v>
      </c>
      <c r="I122" s="9">
        <f>M122</f>
        <v>390</v>
      </c>
      <c r="J122" s="20"/>
      <c r="K122" s="9"/>
      <c r="L122" s="9"/>
      <c r="M122" s="9">
        <v>390</v>
      </c>
      <c r="N122" s="9"/>
      <c r="O122" s="58"/>
      <c r="W122" s="201"/>
    </row>
    <row r="123" spans="1:23" ht="18" customHeight="1" x14ac:dyDescent="0.2">
      <c r="A123" s="265" t="s">
        <v>327</v>
      </c>
      <c r="B123" s="230" t="s">
        <v>177</v>
      </c>
      <c r="C123" s="100"/>
      <c r="D123" s="100"/>
      <c r="E123" s="100"/>
      <c r="F123" s="100"/>
      <c r="G123" s="32"/>
      <c r="H123" s="64" t="s">
        <v>19</v>
      </c>
      <c r="I123" s="9">
        <f>J123+K123+N123</f>
        <v>2128</v>
      </c>
      <c r="J123" s="23"/>
      <c r="K123" s="29"/>
      <c r="L123" s="23"/>
      <c r="M123" s="23"/>
      <c r="N123" s="23">
        <f>N124+N125</f>
        <v>2128</v>
      </c>
      <c r="O123" s="58"/>
      <c r="W123" s="196"/>
    </row>
    <row r="124" spans="1:23" ht="18" customHeight="1" x14ac:dyDescent="0.2">
      <c r="A124" s="266"/>
      <c r="B124" s="231"/>
      <c r="C124" s="100"/>
      <c r="D124" s="100"/>
      <c r="E124" s="100"/>
      <c r="F124" s="100"/>
      <c r="G124" s="32"/>
      <c r="H124" s="64" t="s">
        <v>20</v>
      </c>
      <c r="I124" s="29">
        <f>N124</f>
        <v>2064.16</v>
      </c>
      <c r="J124" s="23"/>
      <c r="K124" s="29"/>
      <c r="L124" s="23"/>
      <c r="M124" s="23"/>
      <c r="N124" s="23">
        <v>2064.16</v>
      </c>
      <c r="O124" s="58"/>
      <c r="W124" s="196"/>
    </row>
    <row r="125" spans="1:23" ht="48" customHeight="1" x14ac:dyDescent="0.2">
      <c r="A125" s="267"/>
      <c r="B125" s="232"/>
      <c r="C125" s="100"/>
      <c r="D125" s="100"/>
      <c r="E125" s="100"/>
      <c r="F125" s="100"/>
      <c r="G125" s="32"/>
      <c r="H125" s="64" t="s">
        <v>208</v>
      </c>
      <c r="I125" s="9">
        <f>N125</f>
        <v>63.84</v>
      </c>
      <c r="J125" s="23"/>
      <c r="K125" s="29"/>
      <c r="L125" s="23"/>
      <c r="M125" s="23"/>
      <c r="N125" s="23">
        <v>63.84</v>
      </c>
      <c r="O125" s="58"/>
      <c r="W125" s="217"/>
    </row>
    <row r="126" spans="1:23" ht="25.5" customHeight="1" x14ac:dyDescent="0.2">
      <c r="A126" s="254" t="s">
        <v>36</v>
      </c>
      <c r="B126" s="257" t="s">
        <v>178</v>
      </c>
      <c r="C126" s="136"/>
      <c r="D126" s="136"/>
      <c r="E126" s="136"/>
      <c r="F126" s="136"/>
      <c r="G126" s="31"/>
      <c r="H126" s="15" t="s">
        <v>19</v>
      </c>
      <c r="I126" s="11">
        <f>J126+K126+L126+M126+N126</f>
        <v>13359.14112556701</v>
      </c>
      <c r="J126" s="22">
        <f>J127+J128</f>
        <v>5615.03514</v>
      </c>
      <c r="K126" s="22">
        <f>K127+K128</f>
        <v>0</v>
      </c>
      <c r="L126" s="22">
        <f>L127+L128</f>
        <v>2053.9</v>
      </c>
      <c r="M126" s="22">
        <f>M127+M128</f>
        <v>1840.2061855670104</v>
      </c>
      <c r="N126" s="22">
        <f>N127+N128</f>
        <v>3849.9998000000001</v>
      </c>
      <c r="O126" s="58"/>
      <c r="W126" s="200"/>
    </row>
    <row r="127" spans="1:23" ht="20.25" customHeight="1" x14ac:dyDescent="0.2">
      <c r="A127" s="255"/>
      <c r="B127" s="258"/>
      <c r="C127" s="136"/>
      <c r="D127" s="136"/>
      <c r="E127" s="136"/>
      <c r="F127" s="136"/>
      <c r="G127" s="31"/>
      <c r="H127" s="15" t="s">
        <v>20</v>
      </c>
      <c r="I127" s="11">
        <f>I136+I139+I142+I145</f>
        <v>12958.36709</v>
      </c>
      <c r="J127" s="22">
        <f>J136</f>
        <v>5446.5840900000003</v>
      </c>
      <c r="K127" s="22">
        <v>0</v>
      </c>
      <c r="L127" s="22">
        <f>L139</f>
        <v>1992.2829999999999</v>
      </c>
      <c r="M127" s="22">
        <f>M142</f>
        <v>1785</v>
      </c>
      <c r="N127" s="22">
        <f>N145</f>
        <v>3734.5</v>
      </c>
      <c r="O127" s="58"/>
      <c r="W127" s="201"/>
    </row>
    <row r="128" spans="1:23" ht="60.75" customHeight="1" x14ac:dyDescent="0.2">
      <c r="A128" s="256"/>
      <c r="B128" s="258"/>
      <c r="C128" s="136"/>
      <c r="D128" s="136"/>
      <c r="E128" s="136"/>
      <c r="F128" s="136"/>
      <c r="G128" s="31"/>
      <c r="H128" s="63" t="s">
        <v>233</v>
      </c>
      <c r="I128" s="11">
        <f>I137+I140+I143+I146</f>
        <v>400.77403556701029</v>
      </c>
      <c r="J128" s="22">
        <f>J137</f>
        <v>168.45105000000001</v>
      </c>
      <c r="K128" s="22">
        <v>0</v>
      </c>
      <c r="L128" s="22">
        <f>L140</f>
        <v>61.616999999999997</v>
      </c>
      <c r="M128" s="22">
        <f>M143</f>
        <v>55.206185567010309</v>
      </c>
      <c r="N128" s="22">
        <f>N146</f>
        <v>115.49979999999999</v>
      </c>
      <c r="O128" s="58"/>
      <c r="W128" s="201"/>
    </row>
    <row r="129" spans="1:29" s="1" customFormat="1" ht="2.25" hidden="1" customHeight="1" x14ac:dyDescent="0.2">
      <c r="A129" s="259"/>
      <c r="B129" s="262"/>
      <c r="C129" s="33"/>
      <c r="D129" s="33"/>
      <c r="E129" s="33"/>
      <c r="F129" s="60"/>
      <c r="G129" s="27"/>
      <c r="H129" s="26"/>
      <c r="I129" s="9"/>
      <c r="J129" s="20"/>
      <c r="K129" s="10"/>
      <c r="L129" s="20"/>
      <c r="M129" s="20"/>
      <c r="N129" s="20"/>
      <c r="O129" s="27"/>
      <c r="P129" s="27"/>
      <c r="Q129" s="12"/>
      <c r="R129" s="12"/>
      <c r="S129" s="12"/>
      <c r="T129" s="12"/>
      <c r="U129" s="12"/>
      <c r="V129" s="12"/>
      <c r="W129" s="252"/>
      <c r="X129" s="58"/>
      <c r="Y129" s="58"/>
      <c r="Z129" s="58"/>
      <c r="AA129" s="58"/>
      <c r="AB129" s="58"/>
      <c r="AC129" s="58"/>
    </row>
    <row r="130" spans="1:29" s="1" customFormat="1" ht="21" hidden="1" customHeight="1" x14ac:dyDescent="0.2">
      <c r="A130" s="260"/>
      <c r="B130" s="263"/>
      <c r="C130" s="33"/>
      <c r="D130" s="33"/>
      <c r="E130" s="33"/>
      <c r="F130" s="60"/>
      <c r="H130" s="26"/>
      <c r="I130" s="9"/>
      <c r="J130" s="20"/>
      <c r="K130" s="10"/>
      <c r="L130" s="20"/>
      <c r="M130" s="20"/>
      <c r="N130" s="20"/>
      <c r="Q130" s="54"/>
      <c r="R130" s="54"/>
      <c r="S130" s="54"/>
      <c r="T130" s="54"/>
      <c r="U130" s="54"/>
      <c r="V130" s="54"/>
      <c r="W130" s="208"/>
      <c r="X130" s="58"/>
      <c r="Y130" s="58"/>
      <c r="Z130" s="58"/>
      <c r="AA130" s="58"/>
      <c r="AB130" s="58"/>
      <c r="AC130" s="58"/>
    </row>
    <row r="131" spans="1:29" s="1" customFormat="1" ht="40.5" hidden="1" customHeight="1" x14ac:dyDescent="0.2">
      <c r="A131" s="261"/>
      <c r="B131" s="264"/>
      <c r="C131" s="33"/>
      <c r="D131" s="33"/>
      <c r="E131" s="33"/>
      <c r="F131" s="60"/>
      <c r="G131" s="55"/>
      <c r="H131" s="47"/>
      <c r="I131" s="9"/>
      <c r="J131" s="20"/>
      <c r="K131" s="10"/>
      <c r="L131" s="20"/>
      <c r="M131" s="20"/>
      <c r="N131" s="20"/>
      <c r="O131" s="55"/>
      <c r="P131" s="55"/>
      <c r="Q131" s="56"/>
      <c r="R131" s="56"/>
      <c r="S131" s="56"/>
      <c r="T131" s="56"/>
      <c r="U131" s="56"/>
      <c r="V131" s="56"/>
      <c r="W131" s="209"/>
      <c r="X131" s="58"/>
      <c r="Y131" s="58"/>
      <c r="Z131" s="58"/>
      <c r="AA131" s="58"/>
      <c r="AB131" s="58"/>
      <c r="AC131" s="58"/>
    </row>
    <row r="132" spans="1:29" s="1" customFormat="1" ht="21" hidden="1" customHeight="1" x14ac:dyDescent="0.2">
      <c r="A132" s="259"/>
      <c r="B132" s="230"/>
      <c r="C132" s="119"/>
      <c r="D132" s="119"/>
      <c r="E132" s="119"/>
      <c r="F132" s="52"/>
      <c r="H132" s="26"/>
      <c r="I132" s="9"/>
      <c r="J132" s="53"/>
      <c r="K132" s="10"/>
      <c r="L132" s="53"/>
      <c r="M132" s="53"/>
      <c r="N132" s="53"/>
      <c r="Q132" s="58"/>
      <c r="R132" s="58"/>
      <c r="S132" s="58"/>
      <c r="T132" s="58"/>
      <c r="U132" s="58"/>
      <c r="V132" s="58"/>
      <c r="W132" s="252"/>
      <c r="X132" s="58"/>
      <c r="Y132" s="58"/>
      <c r="Z132" s="58"/>
      <c r="AA132" s="58"/>
      <c r="AB132" s="58"/>
      <c r="AC132" s="58"/>
    </row>
    <row r="133" spans="1:29" s="1" customFormat="1" ht="21" hidden="1" customHeight="1" x14ac:dyDescent="0.2">
      <c r="A133" s="260"/>
      <c r="B133" s="231"/>
      <c r="C133" s="33"/>
      <c r="D133" s="33"/>
      <c r="E133" s="33"/>
      <c r="F133" s="60"/>
      <c r="H133" s="26"/>
      <c r="I133" s="9"/>
      <c r="J133" s="20"/>
      <c r="K133" s="10"/>
      <c r="L133" s="20"/>
      <c r="M133" s="20"/>
      <c r="N133" s="20"/>
      <c r="Q133" s="58"/>
      <c r="R133" s="58"/>
      <c r="S133" s="58"/>
      <c r="T133" s="58"/>
      <c r="U133" s="58"/>
      <c r="V133" s="58"/>
      <c r="W133" s="208"/>
      <c r="X133" s="58"/>
      <c r="Y133" s="58"/>
      <c r="Z133" s="58"/>
      <c r="AA133" s="58"/>
      <c r="AB133" s="58"/>
      <c r="AC133" s="58"/>
    </row>
    <row r="134" spans="1:29" s="1" customFormat="1" ht="21" hidden="1" customHeight="1" x14ac:dyDescent="0.2">
      <c r="A134" s="261"/>
      <c r="B134" s="232"/>
      <c r="C134" s="33"/>
      <c r="D134" s="33"/>
      <c r="E134" s="33"/>
      <c r="F134" s="60"/>
      <c r="H134" s="47"/>
      <c r="I134" s="9"/>
      <c r="J134" s="20"/>
      <c r="K134" s="10"/>
      <c r="L134" s="20"/>
      <c r="M134" s="20"/>
      <c r="N134" s="20"/>
      <c r="Q134" s="58"/>
      <c r="R134" s="58"/>
      <c r="S134" s="58"/>
      <c r="T134" s="58"/>
      <c r="U134" s="58"/>
      <c r="V134" s="58"/>
      <c r="W134" s="209"/>
      <c r="X134" s="58"/>
      <c r="Y134" s="58"/>
      <c r="Z134" s="58"/>
      <c r="AA134" s="58"/>
      <c r="AB134" s="58"/>
      <c r="AC134" s="58"/>
    </row>
    <row r="135" spans="1:29" s="1" customFormat="1" ht="21" customHeight="1" x14ac:dyDescent="0.2">
      <c r="A135" s="268" t="s">
        <v>37</v>
      </c>
      <c r="B135" s="230" t="s">
        <v>253</v>
      </c>
      <c r="C135" s="33"/>
      <c r="D135" s="33"/>
      <c r="E135" s="33"/>
      <c r="F135" s="60"/>
      <c r="H135" s="26" t="s">
        <v>19</v>
      </c>
      <c r="I135" s="9">
        <f>J135</f>
        <v>5615.03514</v>
      </c>
      <c r="J135" s="20">
        <f>J136+J137</f>
        <v>5615.03514</v>
      </c>
      <c r="K135" s="10"/>
      <c r="L135" s="20"/>
      <c r="M135" s="20"/>
      <c r="N135" s="20"/>
      <c r="Q135" s="58"/>
      <c r="R135" s="58"/>
      <c r="S135" s="58"/>
      <c r="T135" s="58"/>
      <c r="U135" s="58"/>
      <c r="V135" s="58"/>
      <c r="W135" s="182" t="s">
        <v>26</v>
      </c>
      <c r="X135" s="58"/>
      <c r="Y135" s="58"/>
      <c r="Z135" s="58"/>
      <c r="AA135" s="58"/>
      <c r="AB135" s="58"/>
      <c r="AC135" s="58"/>
    </row>
    <row r="136" spans="1:29" s="1" customFormat="1" ht="21" customHeight="1" x14ac:dyDescent="0.2">
      <c r="A136" s="269"/>
      <c r="B136" s="231"/>
      <c r="C136" s="33"/>
      <c r="D136" s="33"/>
      <c r="E136" s="33"/>
      <c r="F136" s="60"/>
      <c r="H136" s="26" t="s">
        <v>20</v>
      </c>
      <c r="I136" s="9">
        <f>J136</f>
        <v>5446.5840900000003</v>
      </c>
      <c r="J136" s="20">
        <v>5446.5840900000003</v>
      </c>
      <c r="K136" s="10"/>
      <c r="L136" s="20"/>
      <c r="M136" s="20"/>
      <c r="N136" s="20"/>
      <c r="Q136" s="58"/>
      <c r="R136" s="58"/>
      <c r="S136" s="58"/>
      <c r="T136" s="58"/>
      <c r="U136" s="58"/>
      <c r="V136" s="58"/>
      <c r="W136" s="199"/>
      <c r="X136" s="58"/>
      <c r="Y136" s="58"/>
      <c r="Z136" s="58"/>
      <c r="AA136" s="58"/>
      <c r="AB136" s="58"/>
      <c r="AC136" s="58"/>
    </row>
    <row r="137" spans="1:29" s="1" customFormat="1" ht="45.75" customHeight="1" x14ac:dyDescent="0.2">
      <c r="A137" s="270"/>
      <c r="B137" s="232"/>
      <c r="C137" s="33"/>
      <c r="D137" s="33"/>
      <c r="E137" s="33"/>
      <c r="F137" s="60"/>
      <c r="H137" s="64" t="s">
        <v>208</v>
      </c>
      <c r="I137" s="9">
        <f>J137</f>
        <v>168.45105000000001</v>
      </c>
      <c r="J137" s="20">
        <v>168.45105000000001</v>
      </c>
      <c r="K137" s="10"/>
      <c r="L137" s="20"/>
      <c r="M137" s="20"/>
      <c r="N137" s="20"/>
      <c r="Q137" s="58"/>
      <c r="R137" s="58"/>
      <c r="S137" s="58"/>
      <c r="T137" s="58"/>
      <c r="U137" s="58"/>
      <c r="V137" s="58"/>
      <c r="W137" s="199"/>
      <c r="X137" s="58"/>
      <c r="Y137" s="58"/>
      <c r="Z137" s="58"/>
      <c r="AA137" s="58"/>
      <c r="AB137" s="58"/>
      <c r="AC137" s="58"/>
    </row>
    <row r="138" spans="1:29" s="1" customFormat="1" ht="30" customHeight="1" x14ac:dyDescent="0.2">
      <c r="A138" s="268" t="s">
        <v>323</v>
      </c>
      <c r="B138" s="230" t="s">
        <v>186</v>
      </c>
      <c r="C138" s="33"/>
      <c r="D138" s="33"/>
      <c r="E138" s="33"/>
      <c r="F138" s="60"/>
      <c r="H138" s="26" t="s">
        <v>19</v>
      </c>
      <c r="I138" s="9">
        <f>L138</f>
        <v>2053.9</v>
      </c>
      <c r="J138" s="20"/>
      <c r="K138" s="10"/>
      <c r="L138" s="20">
        <f>L139+L140</f>
        <v>2053.9</v>
      </c>
      <c r="M138" s="20"/>
      <c r="N138" s="20"/>
      <c r="Q138" s="58"/>
      <c r="R138" s="58"/>
      <c r="S138" s="58"/>
      <c r="T138" s="58"/>
      <c r="U138" s="58"/>
      <c r="V138" s="58"/>
      <c r="W138" s="252" t="s">
        <v>26</v>
      </c>
      <c r="X138" s="58"/>
      <c r="Y138" s="58"/>
      <c r="Z138" s="58"/>
      <c r="AA138" s="58"/>
      <c r="AB138" s="58"/>
      <c r="AC138" s="58"/>
    </row>
    <row r="139" spans="1:29" s="1" customFormat="1" ht="34.5" customHeight="1" x14ac:dyDescent="0.2">
      <c r="A139" s="269"/>
      <c r="B139" s="271"/>
      <c r="C139" s="33"/>
      <c r="D139" s="33"/>
      <c r="E139" s="33"/>
      <c r="F139" s="60"/>
      <c r="H139" s="26" t="s">
        <v>20</v>
      </c>
      <c r="I139" s="9">
        <f>L139</f>
        <v>1992.2829999999999</v>
      </c>
      <c r="J139" s="20"/>
      <c r="K139" s="10"/>
      <c r="L139" s="20">
        <v>1992.2829999999999</v>
      </c>
      <c r="M139" s="20"/>
      <c r="N139" s="20"/>
      <c r="Q139" s="58"/>
      <c r="R139" s="58"/>
      <c r="S139" s="58"/>
      <c r="T139" s="58"/>
      <c r="U139" s="58"/>
      <c r="V139" s="58"/>
      <c r="W139" s="208"/>
      <c r="X139" s="58"/>
      <c r="Y139" s="58"/>
      <c r="Z139" s="58"/>
      <c r="AA139" s="58"/>
      <c r="AB139" s="58"/>
      <c r="AC139" s="58"/>
    </row>
    <row r="140" spans="1:29" s="1" customFormat="1" ht="42.75" customHeight="1" x14ac:dyDescent="0.2">
      <c r="A140" s="270"/>
      <c r="B140" s="220"/>
      <c r="C140" s="33"/>
      <c r="D140" s="33"/>
      <c r="E140" s="33"/>
      <c r="F140" s="60"/>
      <c r="H140" s="64" t="s">
        <v>208</v>
      </c>
      <c r="I140" s="9">
        <f>L140</f>
        <v>61.616999999999997</v>
      </c>
      <c r="J140" s="20"/>
      <c r="K140" s="10"/>
      <c r="L140" s="20">
        <v>61.616999999999997</v>
      </c>
      <c r="M140" s="20"/>
      <c r="N140" s="20"/>
      <c r="Q140" s="58"/>
      <c r="R140" s="58"/>
      <c r="S140" s="58"/>
      <c r="T140" s="58"/>
      <c r="U140" s="58"/>
      <c r="V140" s="58"/>
      <c r="W140" s="209"/>
      <c r="X140" s="58"/>
      <c r="Y140" s="58"/>
      <c r="Z140" s="58"/>
      <c r="AA140" s="58"/>
      <c r="AB140" s="58"/>
      <c r="AC140" s="58"/>
    </row>
    <row r="141" spans="1:29" s="1" customFormat="1" ht="23.25" customHeight="1" x14ac:dyDescent="0.2">
      <c r="A141" s="268" t="s">
        <v>252</v>
      </c>
      <c r="B141" s="230" t="s">
        <v>187</v>
      </c>
      <c r="C141" s="33"/>
      <c r="D141" s="33"/>
      <c r="E141" s="33"/>
      <c r="F141" s="60"/>
      <c r="H141" s="26" t="s">
        <v>19</v>
      </c>
      <c r="I141" s="9">
        <f>M141</f>
        <v>1840.2061855670104</v>
      </c>
      <c r="J141" s="20"/>
      <c r="K141" s="10"/>
      <c r="L141" s="20"/>
      <c r="M141" s="20">
        <f>M142+M143</f>
        <v>1840.2061855670104</v>
      </c>
      <c r="N141" s="20"/>
      <c r="Q141" s="58"/>
      <c r="R141" s="58"/>
      <c r="S141" s="58"/>
      <c r="T141" s="58"/>
      <c r="U141" s="58"/>
      <c r="V141" s="58"/>
      <c r="W141" s="252" t="s">
        <v>26</v>
      </c>
      <c r="X141" s="58"/>
      <c r="Y141" s="58"/>
      <c r="Z141" s="58"/>
      <c r="AA141" s="58"/>
      <c r="AB141" s="58"/>
      <c r="AC141" s="58"/>
    </row>
    <row r="142" spans="1:29" s="1" customFormat="1" ht="23.25" customHeight="1" x14ac:dyDescent="0.2">
      <c r="A142" s="260"/>
      <c r="B142" s="271"/>
      <c r="C142" s="33"/>
      <c r="D142" s="33"/>
      <c r="E142" s="33"/>
      <c r="F142" s="60"/>
      <c r="H142" s="26" t="s">
        <v>20</v>
      </c>
      <c r="I142" s="9">
        <f>M142</f>
        <v>1785</v>
      </c>
      <c r="J142" s="20"/>
      <c r="K142" s="10"/>
      <c r="L142" s="20"/>
      <c r="M142" s="20">
        <v>1785</v>
      </c>
      <c r="N142" s="20"/>
      <c r="Q142" s="58"/>
      <c r="R142" s="58"/>
      <c r="S142" s="58"/>
      <c r="T142" s="58"/>
      <c r="U142" s="58"/>
      <c r="V142" s="58"/>
      <c r="W142" s="208"/>
      <c r="X142" s="58"/>
      <c r="Y142" s="58"/>
      <c r="Z142" s="58"/>
      <c r="AA142" s="58"/>
      <c r="AB142" s="58"/>
      <c r="AC142" s="58"/>
    </row>
    <row r="143" spans="1:29" s="1" customFormat="1" ht="39" customHeight="1" x14ac:dyDescent="0.2">
      <c r="A143" s="261"/>
      <c r="B143" s="220"/>
      <c r="C143" s="33"/>
      <c r="D143" s="33"/>
      <c r="E143" s="33"/>
      <c r="F143" s="60"/>
      <c r="H143" s="64" t="s">
        <v>208</v>
      </c>
      <c r="I143" s="9">
        <f>M143</f>
        <v>55.206185567010309</v>
      </c>
      <c r="J143" s="20"/>
      <c r="K143" s="10"/>
      <c r="L143" s="20"/>
      <c r="M143" s="20">
        <f>M142*3%/97%</f>
        <v>55.206185567010309</v>
      </c>
      <c r="N143" s="20"/>
      <c r="Q143" s="58"/>
      <c r="R143" s="58"/>
      <c r="S143" s="58"/>
      <c r="T143" s="58"/>
      <c r="U143" s="58"/>
      <c r="V143" s="58"/>
      <c r="W143" s="209"/>
      <c r="X143" s="58"/>
      <c r="Y143" s="58"/>
      <c r="Z143" s="58"/>
      <c r="AA143" s="58"/>
      <c r="AB143" s="58"/>
      <c r="AC143" s="58"/>
    </row>
    <row r="144" spans="1:29" s="1" customFormat="1" ht="23.25" customHeight="1" x14ac:dyDescent="0.2">
      <c r="A144" s="252" t="s">
        <v>185</v>
      </c>
      <c r="B144" s="230" t="s">
        <v>188</v>
      </c>
      <c r="C144" s="33"/>
      <c r="D144" s="33"/>
      <c r="E144" s="33"/>
      <c r="F144" s="60"/>
      <c r="H144" s="26" t="s">
        <v>19</v>
      </c>
      <c r="I144" s="9">
        <f>N144</f>
        <v>3849.9998000000001</v>
      </c>
      <c r="J144" s="20"/>
      <c r="K144" s="10"/>
      <c r="L144" s="20"/>
      <c r="M144" s="20"/>
      <c r="N144" s="20">
        <f>N145+N146</f>
        <v>3849.9998000000001</v>
      </c>
      <c r="Q144" s="58"/>
      <c r="R144" s="58"/>
      <c r="S144" s="58"/>
      <c r="T144" s="58"/>
      <c r="U144" s="58"/>
      <c r="V144" s="58"/>
      <c r="W144" s="252" t="s">
        <v>26</v>
      </c>
      <c r="X144" s="58"/>
      <c r="Y144" s="58"/>
      <c r="Z144" s="58"/>
      <c r="AA144" s="58"/>
      <c r="AB144" s="58"/>
      <c r="AC144" s="58"/>
    </row>
    <row r="145" spans="1:29" s="1" customFormat="1" ht="23.25" customHeight="1" x14ac:dyDescent="0.2">
      <c r="A145" s="208"/>
      <c r="B145" s="231"/>
      <c r="C145" s="33"/>
      <c r="D145" s="33"/>
      <c r="E145" s="33"/>
      <c r="F145" s="60"/>
      <c r="H145" s="26" t="s">
        <v>20</v>
      </c>
      <c r="I145" s="9">
        <f>N145</f>
        <v>3734.5</v>
      </c>
      <c r="J145" s="20"/>
      <c r="K145" s="10"/>
      <c r="L145" s="20"/>
      <c r="M145" s="20"/>
      <c r="N145" s="20">
        <v>3734.5</v>
      </c>
      <c r="Q145" s="58"/>
      <c r="R145" s="58"/>
      <c r="S145" s="58"/>
      <c r="T145" s="58"/>
      <c r="U145" s="58"/>
      <c r="V145" s="58"/>
      <c r="W145" s="208"/>
      <c r="X145" s="58"/>
      <c r="Y145" s="58"/>
      <c r="Z145" s="58"/>
      <c r="AA145" s="58"/>
      <c r="AB145" s="58"/>
      <c r="AC145" s="58"/>
    </row>
    <row r="146" spans="1:29" s="1" customFormat="1" ht="47.25" customHeight="1" x14ac:dyDescent="0.2">
      <c r="A146" s="209"/>
      <c r="B146" s="232"/>
      <c r="C146" s="33"/>
      <c r="D146" s="33"/>
      <c r="E146" s="33"/>
      <c r="F146" s="60"/>
      <c r="H146" s="64" t="s">
        <v>208</v>
      </c>
      <c r="I146" s="9">
        <f>N146</f>
        <v>115.49979999999999</v>
      </c>
      <c r="J146" s="20"/>
      <c r="K146" s="10"/>
      <c r="L146" s="20"/>
      <c r="M146" s="20"/>
      <c r="N146" s="20">
        <f>115.5-0.0002</f>
        <v>115.49979999999999</v>
      </c>
      <c r="Q146" s="58"/>
      <c r="R146" s="58"/>
      <c r="S146" s="58"/>
      <c r="T146" s="58"/>
      <c r="U146" s="58"/>
      <c r="V146" s="58"/>
      <c r="W146" s="209"/>
      <c r="X146" s="58"/>
      <c r="Y146" s="58"/>
      <c r="Z146" s="58"/>
      <c r="AA146" s="58"/>
      <c r="AB146" s="58"/>
      <c r="AC146" s="58"/>
    </row>
    <row r="147" spans="1:29" s="1" customFormat="1" ht="21" customHeight="1" x14ac:dyDescent="0.2">
      <c r="A147" s="272" t="s">
        <v>38</v>
      </c>
      <c r="B147" s="275" t="s">
        <v>40</v>
      </c>
      <c r="C147" s="33"/>
      <c r="D147" s="33"/>
      <c r="E147" s="33"/>
      <c r="F147" s="60"/>
      <c r="G147" s="60"/>
      <c r="H147" s="15" t="s">
        <v>19</v>
      </c>
      <c r="I147" s="11">
        <f>J147+K147+L147+M147+N147</f>
        <v>11410.668655670102</v>
      </c>
      <c r="J147" s="11">
        <f>J148+J149</f>
        <v>496.97879999999998</v>
      </c>
      <c r="K147" s="11">
        <f>K148+K149</f>
        <v>0</v>
      </c>
      <c r="L147" s="11">
        <f>L148+L149</f>
        <v>3131.9475876288661</v>
      </c>
      <c r="M147" s="11">
        <f>M148+M149</f>
        <v>3298.9690721649486</v>
      </c>
      <c r="N147" s="11">
        <f>N148+N149</f>
        <v>4482.7731958762888</v>
      </c>
      <c r="Q147" s="58"/>
      <c r="R147" s="58"/>
      <c r="S147" s="58"/>
      <c r="T147" s="58"/>
      <c r="U147" s="58"/>
      <c r="V147" s="58"/>
      <c r="W147" s="33"/>
      <c r="X147" s="58"/>
      <c r="Y147" s="58"/>
      <c r="Z147" s="58"/>
      <c r="AA147" s="58"/>
      <c r="AB147" s="58"/>
      <c r="AC147" s="58"/>
    </row>
    <row r="148" spans="1:29" s="1" customFormat="1" ht="24" customHeight="1" x14ac:dyDescent="0.2">
      <c r="A148" s="273"/>
      <c r="B148" s="276"/>
      <c r="C148" s="4"/>
      <c r="D148" s="33"/>
      <c r="E148" s="33"/>
      <c r="F148" s="60"/>
      <c r="G148" s="60"/>
      <c r="H148" s="15" t="s">
        <v>20</v>
      </c>
      <c r="I148" s="11">
        <f>I157+I166+I169+I172</f>
        <v>10125.529159999998</v>
      </c>
      <c r="J148" s="11">
        <f>J151</f>
        <v>0</v>
      </c>
      <c r="K148" s="11">
        <v>0</v>
      </c>
      <c r="L148" s="11">
        <f>L157</f>
        <v>2577.2391600000001</v>
      </c>
      <c r="M148" s="11">
        <f>M166</f>
        <v>3200</v>
      </c>
      <c r="N148" s="11">
        <f>N169+N172</f>
        <v>4348.29</v>
      </c>
      <c r="Q148" s="58"/>
      <c r="R148" s="58"/>
      <c r="S148" s="58"/>
      <c r="T148" s="58"/>
      <c r="U148" s="58"/>
      <c r="V148" s="58"/>
      <c r="W148" s="33"/>
      <c r="X148" s="58"/>
      <c r="Y148" s="58"/>
      <c r="Z148" s="58"/>
      <c r="AA148" s="58"/>
      <c r="AB148" s="58"/>
      <c r="AC148" s="58"/>
    </row>
    <row r="149" spans="1:29" s="1" customFormat="1" ht="48" customHeight="1" x14ac:dyDescent="0.2">
      <c r="A149" s="274"/>
      <c r="B149" s="277"/>
      <c r="C149" s="4"/>
      <c r="D149" s="33"/>
      <c r="E149" s="33"/>
      <c r="F149" s="60"/>
      <c r="G149" s="60"/>
      <c r="H149" s="63" t="s">
        <v>233</v>
      </c>
      <c r="I149" s="11">
        <f>I158+I167+I170+I161+I164+I173+I152</f>
        <v>1285.1394956701031</v>
      </c>
      <c r="J149" s="11">
        <f>J152</f>
        <v>496.97879999999998</v>
      </c>
      <c r="K149" s="11">
        <v>0</v>
      </c>
      <c r="L149" s="11">
        <f>L158+L167+L161+L164</f>
        <v>554.70842762886605</v>
      </c>
      <c r="M149" s="11">
        <f>M158+M167</f>
        <v>98.969072164948457</v>
      </c>
      <c r="N149" s="11">
        <f>N170+N173</f>
        <v>134.48319587628865</v>
      </c>
      <c r="Q149" s="58"/>
      <c r="R149" s="58"/>
      <c r="S149" s="58"/>
      <c r="T149" s="58"/>
      <c r="U149" s="58"/>
      <c r="V149" s="58"/>
      <c r="W149" s="33"/>
      <c r="X149" s="58"/>
      <c r="Y149" s="58"/>
      <c r="Z149" s="58"/>
      <c r="AA149" s="58"/>
      <c r="AB149" s="58"/>
      <c r="AC149" s="58"/>
    </row>
    <row r="150" spans="1:29" s="1" customFormat="1" ht="24.75" customHeight="1" x14ac:dyDescent="0.2">
      <c r="A150" s="122"/>
      <c r="B150" s="278" t="s">
        <v>293</v>
      </c>
      <c r="C150" s="80"/>
      <c r="D150" s="81"/>
      <c r="E150" s="81"/>
      <c r="F150" s="82"/>
      <c r="G150" s="82"/>
      <c r="H150" s="75" t="s">
        <v>19</v>
      </c>
      <c r="I150" s="83">
        <f>J150</f>
        <v>496.97879999999998</v>
      </c>
      <c r="J150" s="83">
        <f>J152</f>
        <v>496.97879999999998</v>
      </c>
      <c r="K150" s="11"/>
      <c r="L150" s="11"/>
      <c r="M150" s="11"/>
      <c r="N150" s="11"/>
      <c r="Q150" s="58"/>
      <c r="R150" s="58"/>
      <c r="S150" s="58"/>
      <c r="T150" s="58"/>
      <c r="U150" s="58"/>
      <c r="V150" s="58"/>
      <c r="W150" s="194" t="s">
        <v>26</v>
      </c>
      <c r="X150" s="58"/>
      <c r="Y150" s="58"/>
      <c r="Z150" s="58"/>
      <c r="AA150" s="58"/>
      <c r="AB150" s="58"/>
      <c r="AC150" s="58"/>
    </row>
    <row r="151" spans="1:29" s="1" customFormat="1" ht="24.75" customHeight="1" x14ac:dyDescent="0.2">
      <c r="A151" s="121" t="s">
        <v>39</v>
      </c>
      <c r="B151" s="279"/>
      <c r="C151" s="80"/>
      <c r="D151" s="81"/>
      <c r="E151" s="81"/>
      <c r="F151" s="82"/>
      <c r="G151" s="82"/>
      <c r="H151" s="75" t="s">
        <v>20</v>
      </c>
      <c r="I151" s="83"/>
      <c r="J151" s="83"/>
      <c r="K151" s="11"/>
      <c r="L151" s="11"/>
      <c r="M151" s="11"/>
      <c r="N151" s="11"/>
      <c r="Q151" s="58"/>
      <c r="R151" s="58"/>
      <c r="S151" s="58"/>
      <c r="T151" s="58"/>
      <c r="U151" s="58"/>
      <c r="V151" s="58"/>
      <c r="W151" s="236"/>
      <c r="X151" s="58"/>
      <c r="Y151" s="58"/>
      <c r="Z151" s="58"/>
      <c r="AA151" s="58"/>
      <c r="AB151" s="58"/>
      <c r="AC151" s="58"/>
    </row>
    <row r="152" spans="1:29" s="1" customFormat="1" ht="34.5" customHeight="1" x14ac:dyDescent="0.2">
      <c r="A152" s="122"/>
      <c r="B152" s="280"/>
      <c r="C152" s="80"/>
      <c r="D152" s="81"/>
      <c r="E152" s="81"/>
      <c r="F152" s="82"/>
      <c r="G152" s="82"/>
      <c r="H152" s="75" t="s">
        <v>16</v>
      </c>
      <c r="I152" s="83">
        <f>J152</f>
        <v>496.97879999999998</v>
      </c>
      <c r="J152" s="83">
        <v>496.97879999999998</v>
      </c>
      <c r="K152" s="11"/>
      <c r="L152" s="11"/>
      <c r="M152" s="11"/>
      <c r="N152" s="11"/>
      <c r="Q152" s="58"/>
      <c r="R152" s="58"/>
      <c r="S152" s="58"/>
      <c r="T152" s="58"/>
      <c r="U152" s="58"/>
      <c r="V152" s="58"/>
      <c r="W152" s="195"/>
      <c r="X152" s="58"/>
      <c r="Y152" s="58"/>
      <c r="Z152" s="58"/>
      <c r="AA152" s="58"/>
      <c r="AB152" s="58"/>
      <c r="AC152" s="58"/>
    </row>
    <row r="153" spans="1:29" s="1" customFormat="1" ht="24" hidden="1" customHeight="1" x14ac:dyDescent="0.2">
      <c r="A153" s="287" t="s">
        <v>106</v>
      </c>
      <c r="B153" s="284"/>
      <c r="C153" s="4"/>
      <c r="D153" s="33"/>
      <c r="E153" s="33"/>
      <c r="F153" s="60"/>
      <c r="G153" s="60"/>
      <c r="H153" s="26" t="s">
        <v>19</v>
      </c>
      <c r="I153" s="9">
        <f>J153+K153+N153</f>
        <v>0</v>
      </c>
      <c r="J153" s="9"/>
      <c r="K153" s="9"/>
      <c r="L153" s="9"/>
      <c r="M153" s="9"/>
      <c r="N153" s="9"/>
      <c r="Q153" s="58"/>
      <c r="R153" s="58"/>
      <c r="S153" s="58"/>
      <c r="T153" s="58"/>
      <c r="U153" s="58"/>
      <c r="V153" s="58"/>
      <c r="W153" s="289" t="s">
        <v>26</v>
      </c>
      <c r="X153" s="58"/>
      <c r="Y153" s="58"/>
      <c r="Z153" s="58"/>
      <c r="AA153" s="58"/>
      <c r="AB153" s="58"/>
      <c r="AC153" s="58"/>
    </row>
    <row r="154" spans="1:29" s="1" customFormat="1" ht="25.5" hidden="1" customHeight="1" x14ac:dyDescent="0.2">
      <c r="A154" s="288"/>
      <c r="B154" s="285"/>
      <c r="C154" s="4"/>
      <c r="D154" s="33"/>
      <c r="E154" s="33"/>
      <c r="F154" s="60"/>
      <c r="G154" s="60"/>
      <c r="H154" s="26" t="s">
        <v>20</v>
      </c>
      <c r="I154" s="9"/>
      <c r="J154" s="9"/>
      <c r="K154" s="9"/>
      <c r="L154" s="9"/>
      <c r="M154" s="9"/>
      <c r="N154" s="9"/>
      <c r="Q154" s="58"/>
      <c r="R154" s="58"/>
      <c r="S154" s="58"/>
      <c r="T154" s="58"/>
      <c r="U154" s="58"/>
      <c r="V154" s="58"/>
      <c r="W154" s="290"/>
      <c r="X154" s="58"/>
      <c r="Y154" s="58"/>
      <c r="Z154" s="58"/>
      <c r="AA154" s="58"/>
      <c r="AB154" s="58"/>
      <c r="AC154" s="58"/>
    </row>
    <row r="155" spans="1:29" s="1" customFormat="1" ht="32.25" hidden="1" customHeight="1" x14ac:dyDescent="0.2">
      <c r="A155" s="288"/>
      <c r="B155" s="286"/>
      <c r="C155" s="4"/>
      <c r="D155" s="33"/>
      <c r="E155" s="33"/>
      <c r="F155" s="60"/>
      <c r="G155" s="60"/>
      <c r="H155" s="26" t="s">
        <v>16</v>
      </c>
      <c r="I155" s="9">
        <f t="shared" ref="I155" si="13">J155+K155+N155</f>
        <v>0</v>
      </c>
      <c r="J155" s="9"/>
      <c r="K155" s="9"/>
      <c r="L155" s="9"/>
      <c r="M155" s="9"/>
      <c r="N155" s="9"/>
      <c r="Q155" s="58"/>
      <c r="R155" s="58"/>
      <c r="S155" s="58"/>
      <c r="T155" s="58"/>
      <c r="U155" s="58"/>
      <c r="V155" s="58"/>
      <c r="W155" s="291"/>
      <c r="X155" s="58"/>
      <c r="Y155" s="58"/>
      <c r="Z155" s="58"/>
      <c r="AA155" s="58"/>
      <c r="AB155" s="58"/>
      <c r="AC155" s="58"/>
    </row>
    <row r="156" spans="1:29" s="1" customFormat="1" ht="27" customHeight="1" x14ac:dyDescent="0.2">
      <c r="A156" s="281" t="s">
        <v>142</v>
      </c>
      <c r="B156" s="284" t="s">
        <v>216</v>
      </c>
      <c r="C156" s="4"/>
      <c r="D156" s="33"/>
      <c r="E156" s="33"/>
      <c r="F156" s="60"/>
      <c r="G156" s="60"/>
      <c r="H156" s="26" t="s">
        <v>19</v>
      </c>
      <c r="I156" s="9">
        <f>L156</f>
        <v>2656.9475876288661</v>
      </c>
      <c r="J156" s="9"/>
      <c r="K156" s="9"/>
      <c r="L156" s="9">
        <f>L157+L158</f>
        <v>2656.9475876288661</v>
      </c>
      <c r="M156" s="9"/>
      <c r="N156" s="9"/>
      <c r="Q156" s="58"/>
      <c r="R156" s="58"/>
      <c r="S156" s="58"/>
      <c r="T156" s="58"/>
      <c r="U156" s="58"/>
      <c r="V156" s="58"/>
      <c r="W156" s="194" t="s">
        <v>26</v>
      </c>
      <c r="X156" s="58"/>
      <c r="Y156" s="58"/>
      <c r="Z156" s="58"/>
      <c r="AA156" s="58"/>
      <c r="AB156" s="58"/>
      <c r="AC156" s="58"/>
    </row>
    <row r="157" spans="1:29" s="1" customFormat="1" ht="27" customHeight="1" x14ac:dyDescent="0.2">
      <c r="A157" s="282"/>
      <c r="B157" s="285"/>
      <c r="C157" s="4"/>
      <c r="D157" s="33"/>
      <c r="E157" s="33"/>
      <c r="F157" s="60"/>
      <c r="G157" s="60"/>
      <c r="H157" s="26" t="s">
        <v>20</v>
      </c>
      <c r="I157" s="9">
        <f>L157</f>
        <v>2577.2391600000001</v>
      </c>
      <c r="J157" s="9"/>
      <c r="K157" s="9"/>
      <c r="L157" s="9">
        <v>2577.2391600000001</v>
      </c>
      <c r="M157" s="9"/>
      <c r="N157" s="9"/>
      <c r="Q157" s="58"/>
      <c r="R157" s="58"/>
      <c r="S157" s="58"/>
      <c r="T157" s="58"/>
      <c r="U157" s="58"/>
      <c r="V157" s="58"/>
      <c r="W157" s="236"/>
      <c r="X157" s="58"/>
      <c r="Y157" s="58"/>
      <c r="Z157" s="58"/>
      <c r="AA157" s="58"/>
      <c r="AB157" s="58"/>
      <c r="AC157" s="58"/>
    </row>
    <row r="158" spans="1:29" s="1" customFormat="1" ht="32.25" customHeight="1" x14ac:dyDescent="0.2">
      <c r="A158" s="283"/>
      <c r="B158" s="286"/>
      <c r="C158" s="4"/>
      <c r="D158" s="33"/>
      <c r="E158" s="33"/>
      <c r="F158" s="60"/>
      <c r="G158" s="60"/>
      <c r="H158" s="64" t="s">
        <v>208</v>
      </c>
      <c r="I158" s="9">
        <f>L158</f>
        <v>79.708427628865991</v>
      </c>
      <c r="J158" s="9"/>
      <c r="K158" s="9"/>
      <c r="L158" s="9">
        <f>L157*3%/97%</f>
        <v>79.708427628865991</v>
      </c>
      <c r="M158" s="9"/>
      <c r="N158" s="9"/>
      <c r="Q158" s="58"/>
      <c r="R158" s="58"/>
      <c r="S158" s="58"/>
      <c r="T158" s="58"/>
      <c r="U158" s="58"/>
      <c r="V158" s="58"/>
      <c r="W158" s="195"/>
      <c r="X158" s="58"/>
      <c r="Y158" s="58"/>
      <c r="Z158" s="58"/>
      <c r="AA158" s="58"/>
      <c r="AB158" s="58"/>
      <c r="AC158" s="58"/>
    </row>
    <row r="159" spans="1:29" s="1" customFormat="1" ht="32.25" customHeight="1" x14ac:dyDescent="0.2">
      <c r="A159" s="281" t="s">
        <v>106</v>
      </c>
      <c r="B159" s="284" t="s">
        <v>242</v>
      </c>
      <c r="C159" s="4"/>
      <c r="D159" s="33"/>
      <c r="E159" s="33"/>
      <c r="F159" s="60"/>
      <c r="G159" s="60"/>
      <c r="H159" s="64" t="s">
        <v>19</v>
      </c>
      <c r="I159" s="9">
        <f>L159</f>
        <v>350</v>
      </c>
      <c r="J159" s="9"/>
      <c r="K159" s="9"/>
      <c r="L159" s="9">
        <f>L161</f>
        <v>350</v>
      </c>
      <c r="M159" s="9"/>
      <c r="N159" s="9"/>
      <c r="Q159" s="58"/>
      <c r="R159" s="58"/>
      <c r="S159" s="58"/>
      <c r="T159" s="58"/>
      <c r="U159" s="58"/>
      <c r="V159" s="58"/>
      <c r="W159" s="194" t="s">
        <v>26</v>
      </c>
      <c r="X159" s="58"/>
      <c r="Y159" s="58"/>
      <c r="Z159" s="58"/>
      <c r="AA159" s="58"/>
      <c r="AB159" s="58"/>
      <c r="AC159" s="58"/>
    </row>
    <row r="160" spans="1:29" s="1" customFormat="1" ht="32.25" customHeight="1" x14ac:dyDescent="0.2">
      <c r="A160" s="282"/>
      <c r="B160" s="285"/>
      <c r="C160" s="4"/>
      <c r="D160" s="33"/>
      <c r="E160" s="33"/>
      <c r="F160" s="60"/>
      <c r="G160" s="60"/>
      <c r="H160" s="64" t="s">
        <v>20</v>
      </c>
      <c r="I160" s="9"/>
      <c r="J160" s="9"/>
      <c r="K160" s="9"/>
      <c r="L160" s="9"/>
      <c r="M160" s="9"/>
      <c r="N160" s="9"/>
      <c r="Q160" s="58"/>
      <c r="R160" s="58"/>
      <c r="S160" s="58"/>
      <c r="T160" s="58"/>
      <c r="U160" s="58"/>
      <c r="V160" s="58"/>
      <c r="W160" s="236"/>
      <c r="X160" s="58"/>
      <c r="Y160" s="58"/>
      <c r="Z160" s="58"/>
      <c r="AA160" s="58"/>
      <c r="AB160" s="58"/>
      <c r="AC160" s="58"/>
    </row>
    <row r="161" spans="1:29" s="1" customFormat="1" ht="32.25" customHeight="1" x14ac:dyDescent="0.2">
      <c r="A161" s="283"/>
      <c r="B161" s="286"/>
      <c r="C161" s="4"/>
      <c r="D161" s="33"/>
      <c r="E161" s="33"/>
      <c r="F161" s="60"/>
      <c r="G161" s="60"/>
      <c r="H161" s="64" t="s">
        <v>16</v>
      </c>
      <c r="I161" s="9">
        <f>L161</f>
        <v>350</v>
      </c>
      <c r="J161" s="9"/>
      <c r="K161" s="9"/>
      <c r="L161" s="9">
        <v>350</v>
      </c>
      <c r="M161" s="9"/>
      <c r="N161" s="9"/>
      <c r="Q161" s="58"/>
      <c r="R161" s="58"/>
      <c r="S161" s="58"/>
      <c r="T161" s="58"/>
      <c r="U161" s="58"/>
      <c r="V161" s="58"/>
      <c r="W161" s="195"/>
      <c r="X161" s="58"/>
      <c r="Y161" s="58"/>
      <c r="Z161" s="58"/>
      <c r="AA161" s="58"/>
      <c r="AB161" s="58"/>
      <c r="AC161" s="58"/>
    </row>
    <row r="162" spans="1:29" s="1" customFormat="1" ht="32.25" customHeight="1" x14ac:dyDescent="0.2">
      <c r="A162" s="281" t="s">
        <v>180</v>
      </c>
      <c r="B162" s="284" t="s">
        <v>217</v>
      </c>
      <c r="C162" s="4"/>
      <c r="D162" s="33"/>
      <c r="E162" s="33"/>
      <c r="F162" s="60"/>
      <c r="G162" s="60"/>
      <c r="H162" s="64" t="s">
        <v>19</v>
      </c>
      <c r="I162" s="9">
        <f>L162</f>
        <v>125</v>
      </c>
      <c r="J162" s="9"/>
      <c r="K162" s="9"/>
      <c r="L162" s="9">
        <f>L164</f>
        <v>125</v>
      </c>
      <c r="M162" s="9"/>
      <c r="N162" s="9"/>
      <c r="Q162" s="58"/>
      <c r="R162" s="58"/>
      <c r="S162" s="58"/>
      <c r="T162" s="58"/>
      <c r="U162" s="58"/>
      <c r="V162" s="58"/>
      <c r="W162" s="194" t="s">
        <v>26</v>
      </c>
      <c r="X162" s="58"/>
      <c r="Y162" s="58"/>
      <c r="Z162" s="58"/>
      <c r="AA162" s="58"/>
      <c r="AB162" s="58"/>
      <c r="AC162" s="58"/>
    </row>
    <row r="163" spans="1:29" s="1" customFormat="1" ht="32.25" customHeight="1" x14ac:dyDescent="0.2">
      <c r="A163" s="282"/>
      <c r="B163" s="285"/>
      <c r="C163" s="4"/>
      <c r="D163" s="33"/>
      <c r="E163" s="33"/>
      <c r="F163" s="60"/>
      <c r="G163" s="60"/>
      <c r="H163" s="64" t="s">
        <v>20</v>
      </c>
      <c r="I163" s="9"/>
      <c r="J163" s="9"/>
      <c r="K163" s="9"/>
      <c r="L163" s="9"/>
      <c r="M163" s="9"/>
      <c r="N163" s="9"/>
      <c r="Q163" s="58"/>
      <c r="R163" s="58"/>
      <c r="S163" s="58"/>
      <c r="T163" s="58"/>
      <c r="U163" s="58"/>
      <c r="V163" s="58"/>
      <c r="W163" s="236"/>
      <c r="X163" s="58"/>
      <c r="Y163" s="58"/>
      <c r="Z163" s="58"/>
      <c r="AA163" s="58"/>
      <c r="AB163" s="58"/>
      <c r="AC163" s="58"/>
    </row>
    <row r="164" spans="1:29" s="1" customFormat="1" ht="32.25" customHeight="1" x14ac:dyDescent="0.2">
      <c r="A164" s="283"/>
      <c r="B164" s="286"/>
      <c r="C164" s="4"/>
      <c r="D164" s="33"/>
      <c r="E164" s="33"/>
      <c r="F164" s="60"/>
      <c r="G164" s="60"/>
      <c r="H164" s="64" t="s">
        <v>16</v>
      </c>
      <c r="I164" s="9">
        <f>L164</f>
        <v>125</v>
      </c>
      <c r="J164" s="9"/>
      <c r="K164" s="9"/>
      <c r="L164" s="9">
        <v>125</v>
      </c>
      <c r="M164" s="9"/>
      <c r="N164" s="9"/>
      <c r="Q164" s="58"/>
      <c r="R164" s="58"/>
      <c r="S164" s="58"/>
      <c r="T164" s="58"/>
      <c r="U164" s="58"/>
      <c r="V164" s="58"/>
      <c r="W164" s="195"/>
      <c r="X164" s="58"/>
      <c r="Y164" s="58"/>
      <c r="Z164" s="58"/>
      <c r="AA164" s="58"/>
      <c r="AB164" s="58"/>
      <c r="AC164" s="58"/>
    </row>
    <row r="165" spans="1:29" s="1" customFormat="1" ht="32.25" customHeight="1" x14ac:dyDescent="0.2">
      <c r="A165" s="121"/>
      <c r="B165" s="284" t="s">
        <v>179</v>
      </c>
      <c r="C165" s="4"/>
      <c r="D165" s="33"/>
      <c r="E165" s="33"/>
      <c r="F165" s="60"/>
      <c r="G165" s="60"/>
      <c r="H165" s="26" t="s">
        <v>19</v>
      </c>
      <c r="I165" s="9">
        <f>M165</f>
        <v>3298.9690721649486</v>
      </c>
      <c r="J165" s="9"/>
      <c r="K165" s="9"/>
      <c r="L165" s="9"/>
      <c r="M165" s="9">
        <f>M166+M167</f>
        <v>3298.9690721649486</v>
      </c>
      <c r="N165" s="9"/>
      <c r="Q165" s="58"/>
      <c r="R165" s="58"/>
      <c r="S165" s="58"/>
      <c r="T165" s="58"/>
      <c r="U165" s="58"/>
      <c r="V165" s="58"/>
      <c r="W165" s="194" t="s">
        <v>26</v>
      </c>
      <c r="X165" s="58"/>
      <c r="Y165" s="58"/>
      <c r="Z165" s="58"/>
      <c r="AA165" s="58"/>
      <c r="AB165" s="58"/>
      <c r="AC165" s="58"/>
    </row>
    <row r="166" spans="1:29" s="1" customFormat="1" ht="32.25" customHeight="1" x14ac:dyDescent="0.2">
      <c r="A166" s="149" t="s">
        <v>218</v>
      </c>
      <c r="B166" s="285"/>
      <c r="C166" s="4"/>
      <c r="D166" s="33"/>
      <c r="E166" s="33"/>
      <c r="F166" s="60"/>
      <c r="G166" s="60"/>
      <c r="H166" s="26" t="s">
        <v>20</v>
      </c>
      <c r="I166" s="9">
        <f>M166</f>
        <v>3200</v>
      </c>
      <c r="J166" s="9"/>
      <c r="K166" s="9"/>
      <c r="L166" s="9"/>
      <c r="M166" s="9">
        <v>3200</v>
      </c>
      <c r="N166" s="9"/>
      <c r="Q166" s="58"/>
      <c r="R166" s="58"/>
      <c r="S166" s="58"/>
      <c r="T166" s="58"/>
      <c r="U166" s="58"/>
      <c r="V166" s="58"/>
      <c r="W166" s="236"/>
      <c r="X166" s="58"/>
      <c r="Y166" s="58"/>
      <c r="Z166" s="58"/>
      <c r="AA166" s="58"/>
      <c r="AB166" s="58"/>
      <c r="AC166" s="58"/>
    </row>
    <row r="167" spans="1:29" s="1" customFormat="1" ht="32.25" customHeight="1" x14ac:dyDescent="0.2">
      <c r="A167" s="121"/>
      <c r="B167" s="286"/>
      <c r="C167" s="4"/>
      <c r="D167" s="33"/>
      <c r="E167" s="33"/>
      <c r="F167" s="60"/>
      <c r="G167" s="60"/>
      <c r="H167" s="64" t="s">
        <v>208</v>
      </c>
      <c r="I167" s="9">
        <f>M167</f>
        <v>98.969072164948457</v>
      </c>
      <c r="J167" s="9"/>
      <c r="K167" s="9"/>
      <c r="L167" s="9"/>
      <c r="M167" s="9">
        <f>M166*3%/97%</f>
        <v>98.969072164948457</v>
      </c>
      <c r="N167" s="9"/>
      <c r="Q167" s="58"/>
      <c r="R167" s="58"/>
      <c r="S167" s="58"/>
      <c r="T167" s="58"/>
      <c r="U167" s="58"/>
      <c r="V167" s="58"/>
      <c r="W167" s="195"/>
      <c r="X167" s="58"/>
      <c r="Y167" s="58"/>
      <c r="Z167" s="58"/>
      <c r="AA167" s="58"/>
      <c r="AB167" s="58"/>
      <c r="AC167" s="58"/>
    </row>
    <row r="168" spans="1:29" s="1" customFormat="1" ht="32.25" customHeight="1" x14ac:dyDescent="0.2">
      <c r="A168" s="298" t="s">
        <v>219</v>
      </c>
      <c r="B168" s="284" t="s">
        <v>181</v>
      </c>
      <c r="C168" s="4"/>
      <c r="D168" s="33"/>
      <c r="E168" s="33"/>
      <c r="F168" s="60"/>
      <c r="G168" s="60"/>
      <c r="H168" s="26" t="s">
        <v>19</v>
      </c>
      <c r="I168" s="9">
        <f t="shared" ref="I168:I173" si="14">N168</f>
        <v>2836</v>
      </c>
      <c r="J168" s="9"/>
      <c r="K168" s="9"/>
      <c r="L168" s="9"/>
      <c r="M168" s="9"/>
      <c r="N168" s="9">
        <f>N169+N170</f>
        <v>2836</v>
      </c>
      <c r="Q168" s="58"/>
      <c r="R168" s="58"/>
      <c r="S168" s="58"/>
      <c r="T168" s="58"/>
      <c r="U168" s="58"/>
      <c r="V168" s="58"/>
      <c r="W168" s="194" t="s">
        <v>26</v>
      </c>
      <c r="X168" s="58"/>
      <c r="Y168" s="58"/>
      <c r="Z168" s="58"/>
      <c r="AA168" s="58"/>
      <c r="AB168" s="58"/>
      <c r="AC168" s="58"/>
    </row>
    <row r="169" spans="1:29" s="1" customFormat="1" ht="24.75" customHeight="1" x14ac:dyDescent="0.2">
      <c r="A169" s="299"/>
      <c r="B169" s="285"/>
      <c r="C169" s="4"/>
      <c r="D169" s="33"/>
      <c r="E169" s="33"/>
      <c r="F169" s="60"/>
      <c r="G169" s="60"/>
      <c r="H169" s="26" t="s">
        <v>20</v>
      </c>
      <c r="I169" s="9">
        <f t="shared" si="14"/>
        <v>2750.92</v>
      </c>
      <c r="J169" s="9"/>
      <c r="K169" s="9"/>
      <c r="L169" s="9"/>
      <c r="M169" s="9"/>
      <c r="N169" s="9">
        <v>2750.92</v>
      </c>
      <c r="Q169" s="58"/>
      <c r="R169" s="58"/>
      <c r="S169" s="58"/>
      <c r="T169" s="58"/>
      <c r="U169" s="58"/>
      <c r="V169" s="58"/>
      <c r="W169" s="236"/>
      <c r="X169" s="58"/>
      <c r="Y169" s="58"/>
      <c r="Z169" s="58"/>
      <c r="AA169" s="58"/>
      <c r="AB169" s="58"/>
      <c r="AC169" s="58"/>
    </row>
    <row r="170" spans="1:29" s="1" customFormat="1" ht="31.5" customHeight="1" x14ac:dyDescent="0.2">
      <c r="A170" s="300"/>
      <c r="B170" s="286"/>
      <c r="C170" s="4"/>
      <c r="D170" s="33"/>
      <c r="E170" s="33"/>
      <c r="F170" s="60"/>
      <c r="G170" s="60"/>
      <c r="H170" s="64" t="s">
        <v>208</v>
      </c>
      <c r="I170" s="9">
        <f t="shared" si="14"/>
        <v>85.08</v>
      </c>
      <c r="J170" s="9"/>
      <c r="K170" s="9"/>
      <c r="L170" s="9"/>
      <c r="M170" s="9"/>
      <c r="N170" s="9">
        <v>85.08</v>
      </c>
      <c r="Q170" s="58"/>
      <c r="R170" s="58"/>
      <c r="S170" s="58"/>
      <c r="T170" s="58"/>
      <c r="U170" s="58"/>
      <c r="V170" s="58"/>
      <c r="W170" s="195"/>
      <c r="X170" s="58"/>
      <c r="Y170" s="58"/>
      <c r="Z170" s="58"/>
      <c r="AA170" s="58"/>
      <c r="AB170" s="58"/>
      <c r="AC170" s="58"/>
    </row>
    <row r="171" spans="1:29" s="1" customFormat="1" ht="31.5" customHeight="1" x14ac:dyDescent="0.2">
      <c r="A171" s="298" t="s">
        <v>228</v>
      </c>
      <c r="B171" s="284" t="s">
        <v>229</v>
      </c>
      <c r="C171" s="4"/>
      <c r="D171" s="33"/>
      <c r="E171" s="33"/>
      <c r="F171" s="60"/>
      <c r="G171" s="60"/>
      <c r="H171" s="26" t="s">
        <v>19</v>
      </c>
      <c r="I171" s="9">
        <f t="shared" si="14"/>
        <v>1646.7731958762886</v>
      </c>
      <c r="J171" s="9"/>
      <c r="K171" s="9"/>
      <c r="L171" s="9"/>
      <c r="M171" s="9"/>
      <c r="N171" s="9">
        <f>N172+N173</f>
        <v>1646.7731958762886</v>
      </c>
      <c r="Q171" s="58"/>
      <c r="R171" s="58"/>
      <c r="S171" s="58"/>
      <c r="T171" s="58"/>
      <c r="U171" s="58"/>
      <c r="V171" s="58"/>
      <c r="W171" s="194" t="s">
        <v>26</v>
      </c>
      <c r="X171" s="58"/>
      <c r="Y171" s="58"/>
      <c r="Z171" s="58"/>
      <c r="AA171" s="58"/>
      <c r="AB171" s="58"/>
      <c r="AC171" s="58"/>
    </row>
    <row r="172" spans="1:29" s="1" customFormat="1" ht="31.5" customHeight="1" x14ac:dyDescent="0.2">
      <c r="A172" s="299"/>
      <c r="B172" s="285"/>
      <c r="C172" s="4"/>
      <c r="D172" s="33"/>
      <c r="E172" s="33"/>
      <c r="F172" s="60"/>
      <c r="G172" s="60"/>
      <c r="H172" s="26" t="s">
        <v>20</v>
      </c>
      <c r="I172" s="9">
        <f t="shared" si="14"/>
        <v>1597.37</v>
      </c>
      <c r="J172" s="9"/>
      <c r="K172" s="9"/>
      <c r="L172" s="9"/>
      <c r="M172" s="9"/>
      <c r="N172" s="9">
        <v>1597.37</v>
      </c>
      <c r="Q172" s="58"/>
      <c r="R172" s="58"/>
      <c r="S172" s="58"/>
      <c r="T172" s="58"/>
      <c r="U172" s="58"/>
      <c r="V172" s="58"/>
      <c r="W172" s="236"/>
      <c r="X172" s="58"/>
      <c r="Y172" s="58"/>
      <c r="Z172" s="58"/>
      <c r="AA172" s="58"/>
      <c r="AB172" s="58"/>
      <c r="AC172" s="58"/>
    </row>
    <row r="173" spans="1:29" s="1" customFormat="1" ht="31.5" customHeight="1" x14ac:dyDescent="0.2">
      <c r="A173" s="300"/>
      <c r="B173" s="286"/>
      <c r="C173" s="4"/>
      <c r="D173" s="33"/>
      <c r="E173" s="33"/>
      <c r="F173" s="60"/>
      <c r="G173" s="60"/>
      <c r="H173" s="64" t="s">
        <v>208</v>
      </c>
      <c r="I173" s="9">
        <f t="shared" si="14"/>
        <v>49.403195876288656</v>
      </c>
      <c r="J173" s="9"/>
      <c r="K173" s="9"/>
      <c r="L173" s="9"/>
      <c r="M173" s="9"/>
      <c r="N173" s="9">
        <f>N172*3%/97%</f>
        <v>49.403195876288656</v>
      </c>
      <c r="Q173" s="58"/>
      <c r="R173" s="58"/>
      <c r="S173" s="58"/>
      <c r="T173" s="58"/>
      <c r="U173" s="58"/>
      <c r="V173" s="58"/>
      <c r="W173" s="195"/>
      <c r="X173" s="58"/>
      <c r="Y173" s="58"/>
      <c r="Z173" s="58"/>
      <c r="AA173" s="58"/>
      <c r="AB173" s="58"/>
      <c r="AC173" s="58"/>
    </row>
    <row r="174" spans="1:29" s="1" customFormat="1" ht="22.5" customHeight="1" x14ac:dyDescent="0.2">
      <c r="A174" s="292" t="s">
        <v>42</v>
      </c>
      <c r="B174" s="237" t="s">
        <v>41</v>
      </c>
      <c r="C174" s="4"/>
      <c r="D174" s="33"/>
      <c r="E174" s="33"/>
      <c r="F174" s="60"/>
      <c r="G174" s="60"/>
      <c r="H174" s="15" t="s">
        <v>19</v>
      </c>
      <c r="I174" s="11">
        <f>K174+L174+M174+N174+J174</f>
        <v>23287.045489690721</v>
      </c>
      <c r="J174" s="11">
        <f>J175+J176</f>
        <v>7648.6545000000006</v>
      </c>
      <c r="K174" s="11">
        <f>K175+K176</f>
        <v>970</v>
      </c>
      <c r="L174" s="11">
        <f>L175+L176</f>
        <v>5299.1237113402058</v>
      </c>
      <c r="M174" s="11">
        <f>M175+M176</f>
        <v>4459.2672783505159</v>
      </c>
      <c r="N174" s="11">
        <f>N175+N176</f>
        <v>4910</v>
      </c>
      <c r="Q174" s="58"/>
      <c r="R174" s="58"/>
      <c r="S174" s="58"/>
      <c r="T174" s="58"/>
      <c r="U174" s="58"/>
      <c r="V174" s="58"/>
      <c r="W174" s="113"/>
      <c r="X174" s="58"/>
      <c r="Y174" s="58"/>
      <c r="Z174" s="58"/>
      <c r="AA174" s="58"/>
      <c r="AB174" s="58"/>
      <c r="AC174" s="58"/>
    </row>
    <row r="175" spans="1:29" s="1" customFormat="1" ht="24" customHeight="1" x14ac:dyDescent="0.2">
      <c r="A175" s="260"/>
      <c r="B175" s="293"/>
      <c r="C175" s="4"/>
      <c r="D175" s="33"/>
      <c r="E175" s="33"/>
      <c r="F175" s="60"/>
      <c r="G175" s="60"/>
      <c r="H175" s="15" t="s">
        <v>20</v>
      </c>
      <c r="I175" s="11">
        <f>I199+I205+I208+I178+I181</f>
        <v>19710.70595</v>
      </c>
      <c r="J175" s="11">
        <f>J178+J181</f>
        <v>6898.5666900000006</v>
      </c>
      <c r="K175" s="11">
        <v>0</v>
      </c>
      <c r="L175" s="11">
        <f>L199</f>
        <v>4660</v>
      </c>
      <c r="M175" s="11">
        <f>M205</f>
        <v>4024.78926</v>
      </c>
      <c r="N175" s="11">
        <f>N208</f>
        <v>4127.3500000000004</v>
      </c>
      <c r="Q175" s="58"/>
      <c r="R175" s="58"/>
      <c r="S175" s="58"/>
      <c r="T175" s="58"/>
      <c r="U175" s="58"/>
      <c r="V175" s="58"/>
      <c r="W175" s="182"/>
      <c r="X175" s="58"/>
      <c r="Y175" s="58"/>
      <c r="Z175" s="58"/>
      <c r="AA175" s="58"/>
      <c r="AB175" s="58"/>
      <c r="AC175" s="58"/>
    </row>
    <row r="176" spans="1:29" s="1" customFormat="1" ht="44.25" customHeight="1" x14ac:dyDescent="0.2">
      <c r="A176" s="261"/>
      <c r="B176" s="294"/>
      <c r="C176" s="4"/>
      <c r="D176" s="33"/>
      <c r="E176" s="33"/>
      <c r="F176" s="60"/>
      <c r="G176" s="60"/>
      <c r="H176" s="63" t="s">
        <v>233</v>
      </c>
      <c r="I176" s="11">
        <f>I200+I206+I209+I185+I188+I191+I194+I203+I197+I212+I182+I179</f>
        <v>3576.3395396907213</v>
      </c>
      <c r="J176" s="11">
        <f>J185+J182+J179</f>
        <v>750.0878100000001</v>
      </c>
      <c r="K176" s="11">
        <f>K188+K191+K194</f>
        <v>970</v>
      </c>
      <c r="L176" s="11">
        <f>L200+L188+L191+L203</f>
        <v>639.12371134020623</v>
      </c>
      <c r="M176" s="11">
        <f>M206+M197</f>
        <v>434.47801835051547</v>
      </c>
      <c r="N176" s="11">
        <f>N209+N212</f>
        <v>782.65</v>
      </c>
      <c r="Q176" s="58"/>
      <c r="R176" s="58"/>
      <c r="S176" s="58"/>
      <c r="T176" s="58"/>
      <c r="U176" s="58"/>
      <c r="V176" s="58"/>
      <c r="W176" s="199"/>
      <c r="X176" s="58"/>
      <c r="Y176" s="58"/>
      <c r="Z176" s="58"/>
      <c r="AA176" s="58"/>
      <c r="AB176" s="58"/>
      <c r="AC176" s="58"/>
    </row>
    <row r="177" spans="1:29" s="1" customFormat="1" ht="26.25" customHeight="1" x14ac:dyDescent="0.2">
      <c r="A177" s="106"/>
      <c r="B177" s="295" t="s">
        <v>256</v>
      </c>
      <c r="C177" s="4"/>
      <c r="D177" s="33"/>
      <c r="E177" s="33"/>
      <c r="F177" s="60"/>
      <c r="G177" s="60"/>
      <c r="H177" s="26" t="s">
        <v>19</v>
      </c>
      <c r="I177" s="29">
        <f t="shared" ref="I177:I182" si="15">J177</f>
        <v>5460.2213700000002</v>
      </c>
      <c r="J177" s="29">
        <f>J178+J179</f>
        <v>5460.2213700000002</v>
      </c>
      <c r="K177" s="11"/>
      <c r="L177" s="11"/>
      <c r="M177" s="11"/>
      <c r="N177" s="11"/>
      <c r="Q177" s="58"/>
      <c r="R177" s="58"/>
      <c r="S177" s="58"/>
      <c r="T177" s="58"/>
      <c r="U177" s="58"/>
      <c r="V177" s="58"/>
      <c r="W177" s="252" t="s">
        <v>26</v>
      </c>
      <c r="X177" s="58"/>
      <c r="Y177" s="58"/>
      <c r="Z177" s="58"/>
      <c r="AA177" s="58"/>
      <c r="AB177" s="58"/>
      <c r="AC177" s="58"/>
    </row>
    <row r="178" spans="1:29" s="1" customFormat="1" ht="34.5" customHeight="1" x14ac:dyDescent="0.2">
      <c r="A178" s="106" t="s">
        <v>254</v>
      </c>
      <c r="B178" s="296"/>
      <c r="C178" s="4"/>
      <c r="D178" s="33"/>
      <c r="E178" s="33"/>
      <c r="F178" s="60"/>
      <c r="G178" s="60"/>
      <c r="H178" s="26" t="s">
        <v>20</v>
      </c>
      <c r="I178" s="29">
        <f t="shared" si="15"/>
        <v>5296.4147300000004</v>
      </c>
      <c r="J178" s="29">
        <v>5296.4147300000004</v>
      </c>
      <c r="K178" s="11"/>
      <c r="L178" s="11"/>
      <c r="M178" s="11"/>
      <c r="N178" s="11"/>
      <c r="Q178" s="58"/>
      <c r="R178" s="58"/>
      <c r="S178" s="58"/>
      <c r="T178" s="58"/>
      <c r="U178" s="58"/>
      <c r="V178" s="58"/>
      <c r="W178" s="208"/>
      <c r="X178" s="58"/>
      <c r="Y178" s="58"/>
      <c r="Z178" s="58"/>
      <c r="AA178" s="58"/>
      <c r="AB178" s="58"/>
      <c r="AC178" s="58"/>
    </row>
    <row r="179" spans="1:29" s="1" customFormat="1" ht="31.5" customHeight="1" x14ac:dyDescent="0.2">
      <c r="A179" s="106"/>
      <c r="B179" s="297"/>
      <c r="C179" s="4"/>
      <c r="D179" s="33"/>
      <c r="E179" s="33"/>
      <c r="F179" s="60"/>
      <c r="G179" s="60"/>
      <c r="H179" s="26" t="s">
        <v>208</v>
      </c>
      <c r="I179" s="29">
        <f t="shared" si="15"/>
        <v>163.80663999999999</v>
      </c>
      <c r="J179" s="29">
        <v>163.80663999999999</v>
      </c>
      <c r="K179" s="11"/>
      <c r="L179" s="11"/>
      <c r="M179" s="11"/>
      <c r="N179" s="11"/>
      <c r="Q179" s="58"/>
      <c r="R179" s="58"/>
      <c r="S179" s="58"/>
      <c r="T179" s="58"/>
      <c r="U179" s="58"/>
      <c r="V179" s="58"/>
      <c r="W179" s="209"/>
      <c r="X179" s="58"/>
      <c r="Y179" s="58"/>
      <c r="Z179" s="58"/>
      <c r="AA179" s="58"/>
      <c r="AB179" s="58"/>
      <c r="AC179" s="58"/>
    </row>
    <row r="180" spans="1:29" s="1" customFormat="1" ht="31.5" customHeight="1" x14ac:dyDescent="0.2">
      <c r="A180" s="147"/>
      <c r="B180" s="295" t="s">
        <v>257</v>
      </c>
      <c r="C180" s="4"/>
      <c r="D180" s="33"/>
      <c r="E180" s="33"/>
      <c r="F180" s="60"/>
      <c r="G180" s="60"/>
      <c r="H180" s="26" t="s">
        <v>19</v>
      </c>
      <c r="I180" s="29">
        <f t="shared" si="15"/>
        <v>1651.7030499999998</v>
      </c>
      <c r="J180" s="29">
        <f>J181+J182</f>
        <v>1651.7030499999998</v>
      </c>
      <c r="K180" s="11"/>
      <c r="L180" s="11"/>
      <c r="M180" s="11"/>
      <c r="N180" s="11"/>
      <c r="Q180" s="58"/>
      <c r="R180" s="58"/>
      <c r="S180" s="58"/>
      <c r="T180" s="58"/>
      <c r="U180" s="58"/>
      <c r="V180" s="58"/>
      <c r="W180" s="252" t="s">
        <v>26</v>
      </c>
      <c r="X180" s="58"/>
      <c r="Y180" s="58"/>
      <c r="Z180" s="58"/>
      <c r="AA180" s="58"/>
      <c r="AB180" s="58"/>
      <c r="AC180" s="58"/>
    </row>
    <row r="181" spans="1:29" s="1" customFormat="1" ht="31.5" customHeight="1" x14ac:dyDescent="0.2">
      <c r="A181" s="148" t="s">
        <v>198</v>
      </c>
      <c r="B181" s="296"/>
      <c r="C181" s="4"/>
      <c r="D181" s="33"/>
      <c r="E181" s="33"/>
      <c r="F181" s="60"/>
      <c r="G181" s="60"/>
      <c r="H181" s="26" t="s">
        <v>20</v>
      </c>
      <c r="I181" s="29">
        <f t="shared" si="15"/>
        <v>1602.1519599999999</v>
      </c>
      <c r="J181" s="29">
        <v>1602.1519599999999</v>
      </c>
      <c r="K181" s="11"/>
      <c r="L181" s="11"/>
      <c r="M181" s="11"/>
      <c r="N181" s="11"/>
      <c r="Q181" s="58"/>
      <c r="R181" s="58"/>
      <c r="S181" s="58"/>
      <c r="T181" s="58"/>
      <c r="U181" s="58"/>
      <c r="V181" s="58"/>
      <c r="W181" s="208"/>
      <c r="X181" s="58"/>
      <c r="Y181" s="58"/>
      <c r="Z181" s="58"/>
      <c r="AA181" s="58"/>
      <c r="AB181" s="58"/>
      <c r="AC181" s="58"/>
    </row>
    <row r="182" spans="1:29" s="1" customFormat="1" ht="31.5" customHeight="1" x14ac:dyDescent="0.2">
      <c r="A182" s="146"/>
      <c r="B182" s="297"/>
      <c r="C182" s="4"/>
      <c r="D182" s="33"/>
      <c r="E182" s="33"/>
      <c r="F182" s="60"/>
      <c r="G182" s="60"/>
      <c r="H182" s="26" t="s">
        <v>208</v>
      </c>
      <c r="I182" s="29">
        <f t="shared" si="15"/>
        <v>49.551090000000002</v>
      </c>
      <c r="J182" s="29">
        <v>49.551090000000002</v>
      </c>
      <c r="K182" s="11"/>
      <c r="L182" s="11"/>
      <c r="M182" s="11"/>
      <c r="N182" s="11"/>
      <c r="Q182" s="58"/>
      <c r="R182" s="58"/>
      <c r="S182" s="58"/>
      <c r="T182" s="58"/>
      <c r="U182" s="58"/>
      <c r="V182" s="58"/>
      <c r="W182" s="209"/>
      <c r="X182" s="58"/>
      <c r="Y182" s="58"/>
      <c r="Z182" s="58"/>
      <c r="AA182" s="58"/>
      <c r="AB182" s="58"/>
      <c r="AC182" s="58"/>
    </row>
    <row r="183" spans="1:29" s="1" customFormat="1" ht="26.25" customHeight="1" x14ac:dyDescent="0.2">
      <c r="A183" s="301" t="s">
        <v>212</v>
      </c>
      <c r="B183" s="278" t="s">
        <v>200</v>
      </c>
      <c r="C183" s="80"/>
      <c r="D183" s="81"/>
      <c r="E183" s="81"/>
      <c r="F183" s="82"/>
      <c r="G183" s="82"/>
      <c r="H183" s="75" t="s">
        <v>19</v>
      </c>
      <c r="I183" s="83">
        <f>J183</f>
        <v>536.73008000000004</v>
      </c>
      <c r="J183" s="83">
        <f>J185</f>
        <v>536.73008000000004</v>
      </c>
      <c r="K183" s="83"/>
      <c r="L183" s="11"/>
      <c r="M183" s="11"/>
      <c r="N183" s="11"/>
      <c r="Q183" s="58"/>
      <c r="R183" s="58"/>
      <c r="S183" s="58"/>
      <c r="T183" s="58"/>
      <c r="U183" s="58"/>
      <c r="V183" s="58"/>
      <c r="W183" s="252" t="s">
        <v>26</v>
      </c>
      <c r="X183" s="58"/>
      <c r="Y183" s="58"/>
      <c r="Z183" s="58"/>
      <c r="AA183" s="58"/>
      <c r="AB183" s="58"/>
      <c r="AC183" s="58"/>
    </row>
    <row r="184" spans="1:29" s="1" customFormat="1" ht="26.25" customHeight="1" x14ac:dyDescent="0.2">
      <c r="A184" s="302"/>
      <c r="B184" s="279"/>
      <c r="C184" s="80"/>
      <c r="D184" s="81"/>
      <c r="E184" s="81"/>
      <c r="F184" s="82"/>
      <c r="G184" s="82"/>
      <c r="H184" s="75" t="s">
        <v>20</v>
      </c>
      <c r="I184" s="83"/>
      <c r="J184" s="83"/>
      <c r="K184" s="83"/>
      <c r="L184" s="11"/>
      <c r="M184" s="11"/>
      <c r="N184" s="11"/>
      <c r="Q184" s="58"/>
      <c r="R184" s="58"/>
      <c r="S184" s="58"/>
      <c r="T184" s="58"/>
      <c r="U184" s="58"/>
      <c r="V184" s="58"/>
      <c r="W184" s="208"/>
      <c r="X184" s="58"/>
      <c r="Y184" s="58"/>
      <c r="Z184" s="58"/>
      <c r="AA184" s="58"/>
      <c r="AB184" s="58"/>
      <c r="AC184" s="58"/>
    </row>
    <row r="185" spans="1:29" s="1" customFormat="1" ht="26.25" customHeight="1" x14ac:dyDescent="0.2">
      <c r="A185" s="303"/>
      <c r="B185" s="280"/>
      <c r="C185" s="80"/>
      <c r="D185" s="81"/>
      <c r="E185" s="81"/>
      <c r="F185" s="82"/>
      <c r="G185" s="82"/>
      <c r="H185" s="75" t="s">
        <v>16</v>
      </c>
      <c r="I185" s="83">
        <f>J185</f>
        <v>536.73008000000004</v>
      </c>
      <c r="J185" s="83">
        <v>536.73008000000004</v>
      </c>
      <c r="K185" s="83"/>
      <c r="L185" s="11"/>
      <c r="M185" s="11"/>
      <c r="N185" s="11"/>
      <c r="Q185" s="58"/>
      <c r="R185" s="58"/>
      <c r="S185" s="58"/>
      <c r="T185" s="58"/>
      <c r="U185" s="58"/>
      <c r="V185" s="58"/>
      <c r="W185" s="209"/>
      <c r="X185" s="58"/>
      <c r="Y185" s="58"/>
      <c r="Z185" s="58"/>
      <c r="AA185" s="58"/>
      <c r="AB185" s="58"/>
      <c r="AC185" s="58"/>
    </row>
    <row r="186" spans="1:29" s="1" customFormat="1" ht="26.25" customHeight="1" x14ac:dyDescent="0.2">
      <c r="A186" s="301" t="s">
        <v>138</v>
      </c>
      <c r="B186" s="278" t="s">
        <v>210</v>
      </c>
      <c r="C186" s="80"/>
      <c r="D186" s="81"/>
      <c r="E186" s="81"/>
      <c r="F186" s="82"/>
      <c r="G186" s="82"/>
      <c r="H186" s="75" t="s">
        <v>19</v>
      </c>
      <c r="I186" s="83">
        <f>K186</f>
        <v>385</v>
      </c>
      <c r="J186" s="83"/>
      <c r="K186" s="83">
        <f>K188</f>
        <v>385</v>
      </c>
      <c r="L186" s="29"/>
      <c r="M186" s="11"/>
      <c r="N186" s="11"/>
      <c r="Q186" s="58"/>
      <c r="R186" s="58"/>
      <c r="S186" s="58"/>
      <c r="T186" s="58"/>
      <c r="U186" s="58"/>
      <c r="V186" s="58"/>
      <c r="W186" s="252" t="s">
        <v>26</v>
      </c>
      <c r="X186" s="58"/>
      <c r="Y186" s="58"/>
      <c r="Z186" s="58"/>
      <c r="AA186" s="58"/>
      <c r="AB186" s="58"/>
      <c r="AC186" s="58"/>
    </row>
    <row r="187" spans="1:29" s="1" customFormat="1" ht="26.25" customHeight="1" x14ac:dyDescent="0.2">
      <c r="A187" s="302"/>
      <c r="B187" s="279"/>
      <c r="C187" s="80"/>
      <c r="D187" s="81"/>
      <c r="E187" s="81"/>
      <c r="F187" s="82"/>
      <c r="G187" s="82"/>
      <c r="H187" s="75" t="s">
        <v>20</v>
      </c>
      <c r="I187" s="83"/>
      <c r="J187" s="83"/>
      <c r="K187" s="83"/>
      <c r="L187" s="29"/>
      <c r="M187" s="11"/>
      <c r="N187" s="11"/>
      <c r="Q187" s="58"/>
      <c r="R187" s="58"/>
      <c r="S187" s="58"/>
      <c r="T187" s="58"/>
      <c r="U187" s="58"/>
      <c r="V187" s="58"/>
      <c r="W187" s="208"/>
      <c r="X187" s="58"/>
      <c r="Y187" s="58"/>
      <c r="Z187" s="58"/>
      <c r="AA187" s="58"/>
      <c r="AB187" s="58"/>
      <c r="AC187" s="58"/>
    </row>
    <row r="188" spans="1:29" s="1" customFormat="1" ht="26.25" customHeight="1" x14ac:dyDescent="0.2">
      <c r="A188" s="303"/>
      <c r="B188" s="280"/>
      <c r="C188" s="80"/>
      <c r="D188" s="81"/>
      <c r="E188" s="81"/>
      <c r="F188" s="82"/>
      <c r="G188" s="82"/>
      <c r="H188" s="75" t="s">
        <v>16</v>
      </c>
      <c r="I188" s="83">
        <f>K188</f>
        <v>385</v>
      </c>
      <c r="J188" s="83"/>
      <c r="K188" s="83">
        <v>385</v>
      </c>
      <c r="L188" s="29"/>
      <c r="M188" s="11"/>
      <c r="N188" s="11"/>
      <c r="Q188" s="58"/>
      <c r="R188" s="58"/>
      <c r="S188" s="58"/>
      <c r="T188" s="58"/>
      <c r="U188" s="58"/>
      <c r="V188" s="58"/>
      <c r="W188" s="209"/>
      <c r="X188" s="58"/>
      <c r="Y188" s="58"/>
      <c r="Z188" s="58"/>
      <c r="AA188" s="58"/>
      <c r="AB188" s="58"/>
      <c r="AC188" s="58"/>
    </row>
    <row r="189" spans="1:29" s="1" customFormat="1" ht="26.25" customHeight="1" x14ac:dyDescent="0.2">
      <c r="A189" s="301" t="s">
        <v>199</v>
      </c>
      <c r="B189" s="284" t="s">
        <v>215</v>
      </c>
      <c r="C189" s="4"/>
      <c r="D189" s="33"/>
      <c r="E189" s="33"/>
      <c r="F189" s="60"/>
      <c r="G189" s="60"/>
      <c r="H189" s="64" t="s">
        <v>19</v>
      </c>
      <c r="I189" s="29">
        <f>K189</f>
        <v>185</v>
      </c>
      <c r="J189" s="29"/>
      <c r="K189" s="29">
        <f>K191</f>
        <v>185</v>
      </c>
      <c r="L189" s="29"/>
      <c r="M189" s="11"/>
      <c r="N189" s="11"/>
      <c r="Q189" s="58"/>
      <c r="R189" s="58"/>
      <c r="S189" s="58"/>
      <c r="T189" s="58"/>
      <c r="U189" s="58"/>
      <c r="V189" s="58"/>
      <c r="W189" s="252" t="s">
        <v>26</v>
      </c>
      <c r="X189" s="58"/>
      <c r="Y189" s="58"/>
      <c r="Z189" s="58"/>
      <c r="AA189" s="58"/>
      <c r="AB189" s="58"/>
      <c r="AC189" s="58"/>
    </row>
    <row r="190" spans="1:29" s="1" customFormat="1" ht="26.25" customHeight="1" x14ac:dyDescent="0.2">
      <c r="A190" s="302"/>
      <c r="B190" s="285"/>
      <c r="C190" s="4"/>
      <c r="D190" s="33"/>
      <c r="E190" s="33"/>
      <c r="F190" s="60"/>
      <c r="G190" s="60"/>
      <c r="H190" s="64" t="s">
        <v>20</v>
      </c>
      <c r="I190" s="29"/>
      <c r="J190" s="29"/>
      <c r="K190" s="29"/>
      <c r="L190" s="29"/>
      <c r="M190" s="11"/>
      <c r="N190" s="11"/>
      <c r="Q190" s="58"/>
      <c r="R190" s="58"/>
      <c r="S190" s="58"/>
      <c r="T190" s="58"/>
      <c r="U190" s="58"/>
      <c r="V190" s="58"/>
      <c r="W190" s="208"/>
      <c r="X190" s="58"/>
      <c r="Y190" s="58"/>
      <c r="Z190" s="58"/>
      <c r="AA190" s="58"/>
      <c r="AB190" s="58"/>
      <c r="AC190" s="58"/>
    </row>
    <row r="191" spans="1:29" s="1" customFormat="1" ht="26.25" customHeight="1" x14ac:dyDescent="0.2">
      <c r="A191" s="303"/>
      <c r="B191" s="286"/>
      <c r="C191" s="4"/>
      <c r="D191" s="33"/>
      <c r="E191" s="33"/>
      <c r="F191" s="60"/>
      <c r="G191" s="60"/>
      <c r="H191" s="64" t="s">
        <v>16</v>
      </c>
      <c r="I191" s="29">
        <f>K191</f>
        <v>185</v>
      </c>
      <c r="J191" s="29"/>
      <c r="K191" s="29">
        <f>185</f>
        <v>185</v>
      </c>
      <c r="L191" s="29"/>
      <c r="M191" s="11"/>
      <c r="N191" s="11"/>
      <c r="Q191" s="58"/>
      <c r="R191" s="58"/>
      <c r="S191" s="58"/>
      <c r="T191" s="58"/>
      <c r="U191" s="58"/>
      <c r="V191" s="58"/>
      <c r="W191" s="209"/>
      <c r="X191" s="58"/>
      <c r="Y191" s="58"/>
      <c r="Z191" s="58"/>
      <c r="AA191" s="58"/>
      <c r="AB191" s="58"/>
      <c r="AC191" s="58"/>
    </row>
    <row r="192" spans="1:29" s="1" customFormat="1" ht="26.25" customHeight="1" x14ac:dyDescent="0.2">
      <c r="A192" s="301" t="s">
        <v>223</v>
      </c>
      <c r="B192" s="284" t="s">
        <v>211</v>
      </c>
      <c r="C192" s="4"/>
      <c r="D192" s="33"/>
      <c r="E192" s="33"/>
      <c r="F192" s="60"/>
      <c r="G192" s="60"/>
      <c r="H192" s="64" t="s">
        <v>19</v>
      </c>
      <c r="I192" s="29">
        <f>K192</f>
        <v>400</v>
      </c>
      <c r="J192" s="29"/>
      <c r="K192" s="29">
        <f>K194</f>
        <v>400</v>
      </c>
      <c r="L192" s="29"/>
      <c r="M192" s="11"/>
      <c r="N192" s="11"/>
      <c r="Q192" s="58"/>
      <c r="R192" s="58"/>
      <c r="S192" s="58"/>
      <c r="T192" s="58"/>
      <c r="U192" s="58"/>
      <c r="V192" s="58"/>
      <c r="W192" s="252" t="s">
        <v>26</v>
      </c>
      <c r="X192" s="58"/>
      <c r="Y192" s="58"/>
      <c r="Z192" s="58"/>
      <c r="AA192" s="58"/>
      <c r="AB192" s="58"/>
      <c r="AC192" s="58"/>
    </row>
    <row r="193" spans="1:29" s="1" customFormat="1" ht="26.25" customHeight="1" x14ac:dyDescent="0.2">
      <c r="A193" s="302"/>
      <c r="B193" s="285"/>
      <c r="C193" s="4"/>
      <c r="D193" s="33"/>
      <c r="E193" s="33"/>
      <c r="F193" s="60"/>
      <c r="G193" s="60"/>
      <c r="H193" s="64" t="s">
        <v>20</v>
      </c>
      <c r="I193" s="29"/>
      <c r="J193" s="29"/>
      <c r="K193" s="29"/>
      <c r="L193" s="29"/>
      <c r="M193" s="11"/>
      <c r="N193" s="11"/>
      <c r="Q193" s="58"/>
      <c r="R193" s="58"/>
      <c r="S193" s="58"/>
      <c r="T193" s="58"/>
      <c r="U193" s="58"/>
      <c r="V193" s="58"/>
      <c r="W193" s="208"/>
      <c r="X193" s="58"/>
      <c r="Y193" s="58"/>
      <c r="Z193" s="58"/>
      <c r="AA193" s="58"/>
      <c r="AB193" s="58"/>
      <c r="AC193" s="58"/>
    </row>
    <row r="194" spans="1:29" s="1" customFormat="1" ht="26.25" customHeight="1" x14ac:dyDescent="0.2">
      <c r="A194" s="303"/>
      <c r="B194" s="286"/>
      <c r="C194" s="4"/>
      <c r="D194" s="33"/>
      <c r="E194" s="33"/>
      <c r="F194" s="60"/>
      <c r="G194" s="60"/>
      <c r="H194" s="64" t="s">
        <v>16</v>
      </c>
      <c r="I194" s="29">
        <f>K194</f>
        <v>400</v>
      </c>
      <c r="J194" s="29"/>
      <c r="K194" s="29">
        <v>400</v>
      </c>
      <c r="L194" s="29"/>
      <c r="M194" s="11"/>
      <c r="N194" s="11"/>
      <c r="Q194" s="58"/>
      <c r="R194" s="58"/>
      <c r="S194" s="58"/>
      <c r="T194" s="58"/>
      <c r="U194" s="58"/>
      <c r="V194" s="58"/>
      <c r="W194" s="209"/>
      <c r="X194" s="58"/>
      <c r="Y194" s="58"/>
      <c r="Z194" s="58"/>
      <c r="AA194" s="58"/>
      <c r="AB194" s="58"/>
      <c r="AC194" s="58"/>
    </row>
    <row r="195" spans="1:29" s="1" customFormat="1" ht="26.25" customHeight="1" x14ac:dyDescent="0.2">
      <c r="A195" s="301" t="s">
        <v>213</v>
      </c>
      <c r="B195" s="284" t="s">
        <v>225</v>
      </c>
      <c r="C195" s="4"/>
      <c r="D195" s="33"/>
      <c r="E195" s="33"/>
      <c r="F195" s="60"/>
      <c r="G195" s="60"/>
      <c r="H195" s="64" t="s">
        <v>19</v>
      </c>
      <c r="I195" s="29">
        <f>M195</f>
        <v>310</v>
      </c>
      <c r="J195" s="29"/>
      <c r="K195" s="29"/>
      <c r="L195" s="29"/>
      <c r="M195" s="29">
        <f>M197</f>
        <v>310</v>
      </c>
      <c r="N195" s="11"/>
      <c r="Q195" s="58"/>
      <c r="R195" s="58"/>
      <c r="S195" s="58"/>
      <c r="T195" s="58"/>
      <c r="U195" s="58"/>
      <c r="V195" s="58"/>
      <c r="W195" s="252" t="s">
        <v>26</v>
      </c>
      <c r="X195" s="58"/>
      <c r="Y195" s="58"/>
      <c r="Z195" s="58"/>
      <c r="AA195" s="58"/>
      <c r="AB195" s="58"/>
      <c r="AC195" s="58"/>
    </row>
    <row r="196" spans="1:29" s="1" customFormat="1" ht="26.25" customHeight="1" x14ac:dyDescent="0.2">
      <c r="A196" s="302"/>
      <c r="B196" s="285"/>
      <c r="C196" s="4"/>
      <c r="D196" s="33"/>
      <c r="E196" s="33"/>
      <c r="F196" s="60"/>
      <c r="G196" s="60"/>
      <c r="H196" s="64" t="s">
        <v>20</v>
      </c>
      <c r="I196" s="29"/>
      <c r="J196" s="29"/>
      <c r="K196" s="29"/>
      <c r="L196" s="29"/>
      <c r="M196" s="29"/>
      <c r="N196" s="11"/>
      <c r="Q196" s="58"/>
      <c r="R196" s="58"/>
      <c r="S196" s="58"/>
      <c r="T196" s="58"/>
      <c r="U196" s="58"/>
      <c r="V196" s="58"/>
      <c r="W196" s="208"/>
      <c r="X196" s="58"/>
      <c r="Y196" s="58"/>
      <c r="Z196" s="58"/>
      <c r="AA196" s="58"/>
      <c r="AB196" s="58"/>
      <c r="AC196" s="58"/>
    </row>
    <row r="197" spans="1:29" s="1" customFormat="1" ht="26.25" customHeight="1" x14ac:dyDescent="0.2">
      <c r="A197" s="303"/>
      <c r="B197" s="286"/>
      <c r="C197" s="4"/>
      <c r="D197" s="33"/>
      <c r="E197" s="33"/>
      <c r="F197" s="60"/>
      <c r="G197" s="60"/>
      <c r="H197" s="64" t="s">
        <v>16</v>
      </c>
      <c r="I197" s="29">
        <f>M197</f>
        <v>310</v>
      </c>
      <c r="J197" s="29"/>
      <c r="K197" s="29"/>
      <c r="L197" s="29"/>
      <c r="M197" s="29">
        <v>310</v>
      </c>
      <c r="N197" s="11"/>
      <c r="Q197" s="58"/>
      <c r="R197" s="58"/>
      <c r="S197" s="58"/>
      <c r="T197" s="58"/>
      <c r="U197" s="58"/>
      <c r="V197" s="58"/>
      <c r="W197" s="209"/>
      <c r="X197" s="58"/>
      <c r="Y197" s="58"/>
      <c r="Z197" s="58"/>
      <c r="AA197" s="58"/>
      <c r="AB197" s="58"/>
      <c r="AC197" s="58"/>
    </row>
    <row r="198" spans="1:29" s="1" customFormat="1" ht="25.5" customHeight="1" x14ac:dyDescent="0.2">
      <c r="A198" s="287" t="s">
        <v>214</v>
      </c>
      <c r="B198" s="284" t="s">
        <v>182</v>
      </c>
      <c r="C198" s="4"/>
      <c r="D198" s="33"/>
      <c r="E198" s="33"/>
      <c r="F198" s="60"/>
      <c r="G198" s="60"/>
      <c r="H198" s="64" t="s">
        <v>19</v>
      </c>
      <c r="I198" s="29">
        <f>L198</f>
        <v>4804.1237113402058</v>
      </c>
      <c r="J198" s="9"/>
      <c r="K198" s="9"/>
      <c r="L198" s="9">
        <f>L199+L200</f>
        <v>4804.1237113402058</v>
      </c>
      <c r="M198" s="9"/>
      <c r="N198" s="9"/>
      <c r="Q198" s="58"/>
      <c r="R198" s="58"/>
      <c r="S198" s="58"/>
      <c r="T198" s="58"/>
      <c r="U198" s="58"/>
      <c r="V198" s="58"/>
      <c r="W198" s="182" t="s">
        <v>26</v>
      </c>
      <c r="X198" s="58"/>
      <c r="Y198" s="58"/>
      <c r="Z198" s="58"/>
      <c r="AA198" s="58"/>
      <c r="AB198" s="58"/>
      <c r="AC198" s="58"/>
    </row>
    <row r="199" spans="1:29" s="1" customFormat="1" ht="26.25" customHeight="1" x14ac:dyDescent="0.2">
      <c r="A199" s="288"/>
      <c r="B199" s="285"/>
      <c r="C199" s="4"/>
      <c r="D199" s="33"/>
      <c r="E199" s="33"/>
      <c r="F199" s="60"/>
      <c r="G199" s="60"/>
      <c r="H199" s="64" t="s">
        <v>20</v>
      </c>
      <c r="I199" s="29">
        <f>L199</f>
        <v>4660</v>
      </c>
      <c r="J199" s="9"/>
      <c r="K199" s="9"/>
      <c r="L199" s="9">
        <v>4660</v>
      </c>
      <c r="M199" s="9"/>
      <c r="N199" s="9"/>
      <c r="Q199" s="58"/>
      <c r="R199" s="58"/>
      <c r="S199" s="58"/>
      <c r="T199" s="58"/>
      <c r="U199" s="58"/>
      <c r="V199" s="58"/>
      <c r="W199" s="199"/>
      <c r="X199" s="58"/>
      <c r="Y199" s="58"/>
      <c r="Z199" s="58"/>
      <c r="AA199" s="58"/>
      <c r="AB199" s="58"/>
      <c r="AC199" s="58"/>
    </row>
    <row r="200" spans="1:29" s="1" customFormat="1" ht="33.75" customHeight="1" x14ac:dyDescent="0.2">
      <c r="A200" s="304"/>
      <c r="B200" s="286"/>
      <c r="C200" s="4"/>
      <c r="D200" s="33"/>
      <c r="E200" s="33"/>
      <c r="F200" s="60"/>
      <c r="G200" s="60"/>
      <c r="H200" s="64" t="s">
        <v>208</v>
      </c>
      <c r="I200" s="29">
        <f>L200</f>
        <v>144.12371134020617</v>
      </c>
      <c r="J200" s="9"/>
      <c r="K200" s="9"/>
      <c r="L200" s="9">
        <f>L199*3%/97%</f>
        <v>144.12371134020617</v>
      </c>
      <c r="M200" s="9"/>
      <c r="N200" s="9"/>
      <c r="Q200" s="58"/>
      <c r="R200" s="58"/>
      <c r="S200" s="58"/>
      <c r="T200" s="58"/>
      <c r="U200" s="58"/>
      <c r="V200" s="58"/>
      <c r="W200" s="199"/>
      <c r="X200" s="58"/>
      <c r="Y200" s="58"/>
      <c r="Z200" s="58"/>
      <c r="AA200" s="58"/>
      <c r="AB200" s="58"/>
      <c r="AC200" s="58"/>
    </row>
    <row r="201" spans="1:29" s="1" customFormat="1" ht="33.75" customHeight="1" x14ac:dyDescent="0.2">
      <c r="A201" s="287" t="s">
        <v>221</v>
      </c>
      <c r="B201" s="284" t="s">
        <v>220</v>
      </c>
      <c r="C201" s="4"/>
      <c r="D201" s="33"/>
      <c r="E201" s="33"/>
      <c r="F201" s="60"/>
      <c r="G201" s="60"/>
      <c r="H201" s="64" t="s">
        <v>19</v>
      </c>
      <c r="I201" s="29">
        <f>L201</f>
        <v>495</v>
      </c>
      <c r="J201" s="9"/>
      <c r="K201" s="9"/>
      <c r="L201" s="9">
        <f>L203</f>
        <v>495</v>
      </c>
      <c r="M201" s="9"/>
      <c r="N201" s="9"/>
      <c r="Q201" s="58"/>
      <c r="R201" s="58"/>
      <c r="S201" s="58"/>
      <c r="T201" s="58"/>
      <c r="U201" s="58"/>
      <c r="V201" s="58"/>
      <c r="W201" s="182" t="s">
        <v>26</v>
      </c>
      <c r="X201" s="58"/>
      <c r="Y201" s="58"/>
      <c r="Z201" s="58"/>
      <c r="AA201" s="58"/>
      <c r="AB201" s="58"/>
      <c r="AC201" s="58"/>
    </row>
    <row r="202" spans="1:29" s="1" customFormat="1" ht="33.75" customHeight="1" x14ac:dyDescent="0.2">
      <c r="A202" s="288"/>
      <c r="B202" s="285"/>
      <c r="C202" s="4"/>
      <c r="D202" s="33"/>
      <c r="E202" s="33"/>
      <c r="F202" s="60"/>
      <c r="G202" s="60"/>
      <c r="H202" s="64" t="s">
        <v>20</v>
      </c>
      <c r="I202" s="29"/>
      <c r="J202" s="9"/>
      <c r="K202" s="9"/>
      <c r="L202" s="9"/>
      <c r="M202" s="9"/>
      <c r="N202" s="9"/>
      <c r="Q202" s="58"/>
      <c r="R202" s="58"/>
      <c r="S202" s="58"/>
      <c r="T202" s="58"/>
      <c r="U202" s="58"/>
      <c r="V202" s="58"/>
      <c r="W202" s="199"/>
      <c r="X202" s="58"/>
      <c r="Y202" s="58"/>
      <c r="Z202" s="58"/>
      <c r="AA202" s="58"/>
      <c r="AB202" s="58"/>
      <c r="AC202" s="58"/>
    </row>
    <row r="203" spans="1:29" s="1" customFormat="1" ht="33.75" customHeight="1" x14ac:dyDescent="0.2">
      <c r="A203" s="304"/>
      <c r="B203" s="286"/>
      <c r="C203" s="4"/>
      <c r="D203" s="33"/>
      <c r="E203" s="33"/>
      <c r="F203" s="60"/>
      <c r="G203" s="60"/>
      <c r="H203" s="64" t="s">
        <v>16</v>
      </c>
      <c r="I203" s="29">
        <f>L203</f>
        <v>495</v>
      </c>
      <c r="J203" s="9"/>
      <c r="K203" s="9"/>
      <c r="L203" s="9">
        <v>495</v>
      </c>
      <c r="M203" s="9"/>
      <c r="N203" s="9"/>
      <c r="Q203" s="58"/>
      <c r="R203" s="58"/>
      <c r="S203" s="58"/>
      <c r="T203" s="58"/>
      <c r="U203" s="58"/>
      <c r="V203" s="58"/>
      <c r="W203" s="199"/>
      <c r="X203" s="58"/>
      <c r="Y203" s="58"/>
      <c r="Z203" s="58"/>
      <c r="AA203" s="58"/>
      <c r="AB203" s="58"/>
      <c r="AC203" s="58"/>
    </row>
    <row r="204" spans="1:29" s="1" customFormat="1" ht="23.25" customHeight="1" x14ac:dyDescent="0.2">
      <c r="A204" s="145" t="s">
        <v>224</v>
      </c>
      <c r="B204" s="284" t="s">
        <v>183</v>
      </c>
      <c r="C204" s="4"/>
      <c r="D204" s="33"/>
      <c r="E204" s="33"/>
      <c r="F204" s="60"/>
      <c r="G204" s="60"/>
      <c r="H204" s="64" t="s">
        <v>19</v>
      </c>
      <c r="I204" s="29">
        <f>M204</f>
        <v>4149.2672783505159</v>
      </c>
      <c r="J204" s="9"/>
      <c r="K204" s="9"/>
      <c r="L204" s="9"/>
      <c r="M204" s="9">
        <f>M205+M206</f>
        <v>4149.2672783505159</v>
      </c>
      <c r="N204" s="9"/>
      <c r="Q204" s="58"/>
      <c r="R204" s="58"/>
      <c r="S204" s="58"/>
      <c r="T204" s="58"/>
      <c r="U204" s="58"/>
      <c r="V204" s="58"/>
      <c r="W204" s="311" t="s">
        <v>26</v>
      </c>
      <c r="X204" s="58"/>
      <c r="Y204" s="58"/>
      <c r="Z204" s="58"/>
      <c r="AA204" s="58"/>
      <c r="AB204" s="58"/>
      <c r="AC204" s="58"/>
    </row>
    <row r="205" spans="1:29" s="1" customFormat="1" ht="23.25" customHeight="1" x14ac:dyDescent="0.2">
      <c r="A205" s="118"/>
      <c r="B205" s="309"/>
      <c r="C205" s="4"/>
      <c r="D205" s="33"/>
      <c r="E205" s="33"/>
      <c r="F205" s="60"/>
      <c r="G205" s="60"/>
      <c r="H205" s="64" t="s">
        <v>20</v>
      </c>
      <c r="I205" s="29">
        <f>M205</f>
        <v>4024.78926</v>
      </c>
      <c r="J205" s="9"/>
      <c r="K205" s="9"/>
      <c r="L205" s="9"/>
      <c r="M205" s="9">
        <v>4024.78926</v>
      </c>
      <c r="N205" s="9"/>
      <c r="Q205" s="58"/>
      <c r="R205" s="58"/>
      <c r="S205" s="58"/>
      <c r="T205" s="58"/>
      <c r="U205" s="58"/>
      <c r="V205" s="58"/>
      <c r="W205" s="312"/>
      <c r="X205" s="58"/>
      <c r="Y205" s="58"/>
      <c r="Z205" s="58"/>
      <c r="AA205" s="58"/>
      <c r="AB205" s="58"/>
      <c r="AC205" s="58"/>
    </row>
    <row r="206" spans="1:29" s="1" customFormat="1" ht="33" customHeight="1" x14ac:dyDescent="0.2">
      <c r="A206" s="119"/>
      <c r="B206" s="310"/>
      <c r="C206" s="4"/>
      <c r="D206" s="33"/>
      <c r="E206" s="33"/>
      <c r="F206" s="60"/>
      <c r="G206" s="60"/>
      <c r="H206" s="64" t="s">
        <v>208</v>
      </c>
      <c r="I206" s="29">
        <f>M206</f>
        <v>124.47801835051547</v>
      </c>
      <c r="J206" s="9"/>
      <c r="K206" s="9"/>
      <c r="L206" s="9"/>
      <c r="M206" s="9">
        <f>M205*3%/97%</f>
        <v>124.47801835051547</v>
      </c>
      <c r="N206" s="9"/>
      <c r="Q206" s="58"/>
      <c r="R206" s="58"/>
      <c r="S206" s="58"/>
      <c r="T206" s="58"/>
      <c r="U206" s="58"/>
      <c r="V206" s="58"/>
      <c r="W206" s="313"/>
      <c r="X206" s="58"/>
      <c r="Y206" s="58"/>
      <c r="Z206" s="58"/>
      <c r="AA206" s="58"/>
      <c r="AB206" s="58"/>
      <c r="AC206" s="58"/>
    </row>
    <row r="207" spans="1:29" s="1" customFormat="1" ht="28.5" customHeight="1" x14ac:dyDescent="0.2">
      <c r="A207" s="287" t="s">
        <v>231</v>
      </c>
      <c r="B207" s="284" t="s">
        <v>241</v>
      </c>
      <c r="C207" s="4"/>
      <c r="D207" s="33"/>
      <c r="E207" s="33"/>
      <c r="F207" s="60"/>
      <c r="G207" s="60"/>
      <c r="H207" s="64" t="s">
        <v>19</v>
      </c>
      <c r="I207" s="29">
        <f t="shared" ref="I207:I209" si="16">N207</f>
        <v>4255</v>
      </c>
      <c r="J207" s="9"/>
      <c r="K207" s="10"/>
      <c r="L207" s="51"/>
      <c r="M207" s="51"/>
      <c r="N207" s="51">
        <f>N208+N209</f>
        <v>4255</v>
      </c>
      <c r="Q207" s="58"/>
      <c r="R207" s="58"/>
      <c r="S207" s="58"/>
      <c r="T207" s="58"/>
      <c r="U207" s="58"/>
      <c r="V207" s="58"/>
      <c r="W207" s="200" t="s">
        <v>26</v>
      </c>
      <c r="X207" s="58"/>
      <c r="Y207" s="58"/>
      <c r="Z207" s="58"/>
      <c r="AA207" s="58"/>
      <c r="AB207" s="58"/>
      <c r="AC207" s="58"/>
    </row>
    <row r="208" spans="1:29" s="1" customFormat="1" ht="21.75" customHeight="1" x14ac:dyDescent="0.2">
      <c r="A208" s="288"/>
      <c r="B208" s="285"/>
      <c r="C208" s="4"/>
      <c r="D208" s="33"/>
      <c r="E208" s="33"/>
      <c r="F208" s="60"/>
      <c r="G208" s="60"/>
      <c r="H208" s="64" t="s">
        <v>20</v>
      </c>
      <c r="I208" s="29">
        <f t="shared" si="16"/>
        <v>4127.3500000000004</v>
      </c>
      <c r="J208" s="9"/>
      <c r="K208" s="10"/>
      <c r="L208" s="51"/>
      <c r="M208" s="51"/>
      <c r="N208" s="51">
        <v>4127.3500000000004</v>
      </c>
      <c r="Q208" s="58"/>
      <c r="R208" s="58"/>
      <c r="S208" s="58"/>
      <c r="T208" s="58"/>
      <c r="U208" s="58"/>
      <c r="V208" s="58"/>
      <c r="W208" s="201"/>
      <c r="X208" s="58"/>
      <c r="Y208" s="58"/>
      <c r="Z208" s="58"/>
      <c r="AA208" s="58"/>
      <c r="AB208" s="58"/>
      <c r="AC208" s="58"/>
    </row>
    <row r="209" spans="1:29" s="1" customFormat="1" ht="46.5" customHeight="1" x14ac:dyDescent="0.2">
      <c r="A209" s="304"/>
      <c r="B209" s="286"/>
      <c r="C209" s="4"/>
      <c r="D209" s="33"/>
      <c r="E209" s="33"/>
      <c r="F209" s="60"/>
      <c r="G209" s="60"/>
      <c r="H209" s="64" t="s">
        <v>208</v>
      </c>
      <c r="I209" s="29">
        <f t="shared" si="16"/>
        <v>127.65</v>
      </c>
      <c r="J209" s="9"/>
      <c r="K209" s="10"/>
      <c r="L209" s="51"/>
      <c r="M209" s="51"/>
      <c r="N209" s="51">
        <v>127.65</v>
      </c>
      <c r="Q209" s="58"/>
      <c r="R209" s="58"/>
      <c r="S209" s="58"/>
      <c r="T209" s="58"/>
      <c r="U209" s="58"/>
      <c r="V209" s="58"/>
      <c r="W209" s="207"/>
      <c r="X209" s="58"/>
      <c r="Y209" s="58"/>
      <c r="Z209" s="58"/>
      <c r="AA209" s="58"/>
      <c r="AB209" s="58"/>
      <c r="AC209" s="58"/>
    </row>
    <row r="210" spans="1:29" s="1" customFormat="1" ht="21.75" customHeight="1" x14ac:dyDescent="0.2">
      <c r="A210" s="287" t="s">
        <v>255</v>
      </c>
      <c r="B210" s="284" t="s">
        <v>303</v>
      </c>
      <c r="C210" s="4"/>
      <c r="D210" s="33"/>
      <c r="E210" s="33"/>
      <c r="F210" s="60"/>
      <c r="G210" s="60"/>
      <c r="H210" s="64" t="s">
        <v>19</v>
      </c>
      <c r="I210" s="29">
        <f>N210</f>
        <v>655</v>
      </c>
      <c r="J210" s="9"/>
      <c r="K210" s="10"/>
      <c r="L210" s="51"/>
      <c r="M210" s="51"/>
      <c r="N210" s="51">
        <f>N212</f>
        <v>655</v>
      </c>
      <c r="Q210" s="58"/>
      <c r="R210" s="58"/>
      <c r="S210" s="58"/>
      <c r="T210" s="58"/>
      <c r="U210" s="58"/>
      <c r="V210" s="58"/>
      <c r="W210" s="200" t="s">
        <v>26</v>
      </c>
      <c r="X210" s="58"/>
      <c r="Y210" s="58"/>
      <c r="Z210" s="58"/>
      <c r="AA210" s="58"/>
      <c r="AB210" s="58"/>
      <c r="AC210" s="58"/>
    </row>
    <row r="211" spans="1:29" s="1" customFormat="1" ht="23.25" customHeight="1" x14ac:dyDescent="0.2">
      <c r="A211" s="288"/>
      <c r="B211" s="285"/>
      <c r="C211" s="4"/>
      <c r="D211" s="33"/>
      <c r="E211" s="33"/>
      <c r="F211" s="60"/>
      <c r="G211" s="60"/>
      <c r="H211" s="64" t="s">
        <v>20</v>
      </c>
      <c r="I211" s="29"/>
      <c r="J211" s="9"/>
      <c r="K211" s="10"/>
      <c r="L211" s="51"/>
      <c r="M211" s="51"/>
      <c r="N211" s="51"/>
      <c r="Q211" s="58"/>
      <c r="R211" s="58"/>
      <c r="S211" s="58"/>
      <c r="T211" s="58"/>
      <c r="U211" s="58"/>
      <c r="V211" s="58"/>
      <c r="W211" s="201"/>
      <c r="X211" s="58"/>
      <c r="Y211" s="58"/>
      <c r="Z211" s="58"/>
      <c r="AA211" s="58"/>
      <c r="AB211" s="58"/>
      <c r="AC211" s="58"/>
    </row>
    <row r="212" spans="1:29" s="1" customFormat="1" ht="28.5" customHeight="1" x14ac:dyDescent="0.2">
      <c r="A212" s="304"/>
      <c r="B212" s="286"/>
      <c r="C212" s="4"/>
      <c r="D212" s="33"/>
      <c r="E212" s="33"/>
      <c r="F212" s="60"/>
      <c r="G212" s="60"/>
      <c r="H212" s="64" t="s">
        <v>16</v>
      </c>
      <c r="I212" s="29">
        <f>N212</f>
        <v>655</v>
      </c>
      <c r="J212" s="9"/>
      <c r="K212" s="10"/>
      <c r="L212" s="51"/>
      <c r="M212" s="51"/>
      <c r="N212" s="51">
        <v>655</v>
      </c>
      <c r="Q212" s="58"/>
      <c r="R212" s="58"/>
      <c r="S212" s="58"/>
      <c r="T212" s="58"/>
      <c r="U212" s="58"/>
      <c r="V212" s="58"/>
      <c r="W212" s="207"/>
      <c r="X212" s="58"/>
      <c r="Y212" s="58"/>
      <c r="Z212" s="58"/>
      <c r="AA212" s="58"/>
      <c r="AB212" s="58"/>
      <c r="AC212" s="58"/>
    </row>
    <row r="213" spans="1:29" s="1" customFormat="1" ht="24.75" customHeight="1" x14ac:dyDescent="0.2">
      <c r="A213" s="292" t="s">
        <v>43</v>
      </c>
      <c r="B213" s="237" t="s">
        <v>107</v>
      </c>
      <c r="C213" s="4"/>
      <c r="D213" s="33"/>
      <c r="E213" s="33"/>
      <c r="F213" s="60"/>
      <c r="G213" s="60"/>
      <c r="H213" s="15" t="s">
        <v>19</v>
      </c>
      <c r="I213" s="11">
        <f>J213+K213+L213+M213+N213</f>
        <v>5036.0419999999995</v>
      </c>
      <c r="J213" s="11">
        <v>0</v>
      </c>
      <c r="K213" s="11">
        <f>K214+K215</f>
        <v>0</v>
      </c>
      <c r="L213" s="11">
        <f>L214+L215</f>
        <v>1800</v>
      </c>
      <c r="M213" s="11">
        <f>M214+M215</f>
        <v>2921.0419999999999</v>
      </c>
      <c r="N213" s="11">
        <f>N214+N215</f>
        <v>315</v>
      </c>
      <c r="Q213" s="58"/>
      <c r="R213" s="58"/>
      <c r="S213" s="58"/>
      <c r="T213" s="58"/>
      <c r="U213" s="58"/>
      <c r="V213" s="58"/>
      <c r="W213" s="182"/>
      <c r="X213" s="58"/>
      <c r="Y213" s="58"/>
      <c r="Z213" s="58"/>
      <c r="AA213" s="58"/>
      <c r="AB213" s="58"/>
      <c r="AC213" s="58"/>
    </row>
    <row r="214" spans="1:29" s="1" customFormat="1" ht="22.5" customHeight="1" x14ac:dyDescent="0.2">
      <c r="A214" s="305"/>
      <c r="B214" s="307"/>
      <c r="C214" s="4"/>
      <c r="D214" s="33"/>
      <c r="E214" s="33"/>
      <c r="F214" s="60"/>
      <c r="G214" s="60"/>
      <c r="H214" s="15" t="s">
        <v>20</v>
      </c>
      <c r="I214" s="11">
        <f>I217+I220</f>
        <v>4579.4107399999994</v>
      </c>
      <c r="J214" s="11">
        <v>0</v>
      </c>
      <c r="K214" s="11">
        <f>K217+K220</f>
        <v>0</v>
      </c>
      <c r="L214" s="11">
        <f>L220</f>
        <v>1746</v>
      </c>
      <c r="M214" s="11">
        <f>M217</f>
        <v>2833.4107399999998</v>
      </c>
      <c r="N214" s="11">
        <f>N217</f>
        <v>0</v>
      </c>
      <c r="Q214" s="58"/>
      <c r="R214" s="58"/>
      <c r="S214" s="58"/>
      <c r="T214" s="58"/>
      <c r="U214" s="58"/>
      <c r="V214" s="58"/>
      <c r="W214" s="199"/>
      <c r="X214" s="58"/>
      <c r="Y214" s="58"/>
      <c r="Z214" s="58"/>
      <c r="AA214" s="58"/>
      <c r="AB214" s="58"/>
      <c r="AC214" s="58"/>
    </row>
    <row r="215" spans="1:29" s="1" customFormat="1" ht="42.75" x14ac:dyDescent="0.2">
      <c r="A215" s="306"/>
      <c r="B215" s="308"/>
      <c r="C215" s="4"/>
      <c r="D215" s="33"/>
      <c r="E215" s="33"/>
      <c r="F215" s="60"/>
      <c r="G215" s="60"/>
      <c r="H215" s="63" t="s">
        <v>233</v>
      </c>
      <c r="I215" s="11">
        <f>I218+I221+I224</f>
        <v>456.63126</v>
      </c>
      <c r="J215" s="11">
        <v>0</v>
      </c>
      <c r="K215" s="11">
        <f>K218+K221</f>
        <v>0</v>
      </c>
      <c r="L215" s="11">
        <f>L218+L221</f>
        <v>54</v>
      </c>
      <c r="M215" s="11">
        <f>M218</f>
        <v>87.631259999999997</v>
      </c>
      <c r="N215" s="11">
        <f>N224</f>
        <v>315</v>
      </c>
      <c r="Q215" s="58"/>
      <c r="R215" s="58"/>
      <c r="S215" s="58"/>
      <c r="T215" s="58"/>
      <c r="U215" s="58"/>
      <c r="V215" s="58"/>
      <c r="W215" s="199"/>
      <c r="X215" s="58"/>
      <c r="Y215" s="58"/>
      <c r="Z215" s="58"/>
      <c r="AA215" s="58"/>
      <c r="AB215" s="58"/>
      <c r="AC215" s="58"/>
    </row>
    <row r="216" spans="1:29" s="1" customFormat="1" ht="24" customHeight="1" x14ac:dyDescent="0.2">
      <c r="A216" s="287" t="s">
        <v>141</v>
      </c>
      <c r="B216" s="284" t="s">
        <v>171</v>
      </c>
      <c r="C216" s="4"/>
      <c r="D216" s="33"/>
      <c r="E216" s="33"/>
      <c r="F216" s="60"/>
      <c r="G216" s="60"/>
      <c r="H216" s="26" t="s">
        <v>19</v>
      </c>
      <c r="I216" s="29">
        <f>M216</f>
        <v>2921.0419999999999</v>
      </c>
      <c r="J216" s="11"/>
      <c r="K216" s="10"/>
      <c r="L216" s="29"/>
      <c r="M216" s="29">
        <f>M217+M218</f>
        <v>2921.0419999999999</v>
      </c>
      <c r="N216" s="29"/>
      <c r="Q216" s="58"/>
      <c r="R216" s="58"/>
      <c r="S216" s="58"/>
      <c r="T216" s="58"/>
      <c r="U216" s="58"/>
      <c r="V216" s="58"/>
      <c r="W216" s="200" t="s">
        <v>26</v>
      </c>
      <c r="X216" s="58"/>
      <c r="Y216" s="58"/>
      <c r="Z216" s="58"/>
      <c r="AA216" s="58"/>
      <c r="AB216" s="58"/>
      <c r="AC216" s="58"/>
    </row>
    <row r="217" spans="1:29" s="1" customFormat="1" ht="24.75" customHeight="1" x14ac:dyDescent="0.2">
      <c r="A217" s="288"/>
      <c r="B217" s="285"/>
      <c r="C217" s="4"/>
      <c r="D217" s="33"/>
      <c r="E217" s="33"/>
      <c r="F217" s="60"/>
      <c r="G217" s="60"/>
      <c r="H217" s="26" t="s">
        <v>20</v>
      </c>
      <c r="I217" s="29">
        <f>M217</f>
        <v>2833.4107399999998</v>
      </c>
      <c r="J217" s="11"/>
      <c r="K217" s="10"/>
      <c r="L217" s="29"/>
      <c r="M217" s="29">
        <v>2833.4107399999998</v>
      </c>
      <c r="N217" s="29"/>
      <c r="Q217" s="58"/>
      <c r="R217" s="58"/>
      <c r="S217" s="58"/>
      <c r="T217" s="58"/>
      <c r="U217" s="58"/>
      <c r="V217" s="58"/>
      <c r="W217" s="201"/>
      <c r="X217" s="58"/>
      <c r="Y217" s="58"/>
      <c r="Z217" s="58"/>
      <c r="AA217" s="58"/>
      <c r="AB217" s="58"/>
      <c r="AC217" s="58"/>
    </row>
    <row r="218" spans="1:29" s="1" customFormat="1" ht="36.75" customHeight="1" x14ac:dyDescent="0.2">
      <c r="A218" s="304"/>
      <c r="B218" s="286"/>
      <c r="C218" s="4"/>
      <c r="D218" s="33"/>
      <c r="E218" s="33"/>
      <c r="F218" s="60"/>
      <c r="G218" s="60"/>
      <c r="H218" s="64" t="s">
        <v>208</v>
      </c>
      <c r="I218" s="29">
        <f>M218</f>
        <v>87.631259999999997</v>
      </c>
      <c r="J218" s="11"/>
      <c r="K218" s="10"/>
      <c r="L218" s="29"/>
      <c r="M218" s="29">
        <v>87.631259999999997</v>
      </c>
      <c r="N218" s="29"/>
      <c r="Q218" s="58"/>
      <c r="R218" s="58"/>
      <c r="S218" s="58"/>
      <c r="T218" s="58"/>
      <c r="U218" s="58"/>
      <c r="V218" s="58"/>
      <c r="W218" s="207"/>
      <c r="X218" s="58"/>
      <c r="Y218" s="58"/>
      <c r="Z218" s="58"/>
      <c r="AA218" s="58"/>
      <c r="AB218" s="58"/>
      <c r="AC218" s="58"/>
    </row>
    <row r="219" spans="1:29" s="1" customFormat="1" ht="25.5" customHeight="1" x14ac:dyDescent="0.2">
      <c r="A219" s="287" t="s">
        <v>153</v>
      </c>
      <c r="B219" s="284" t="s">
        <v>184</v>
      </c>
      <c r="C219" s="4"/>
      <c r="D219" s="33"/>
      <c r="E219" s="33"/>
      <c r="F219" s="60"/>
      <c r="G219" s="60"/>
      <c r="H219" s="26" t="s">
        <v>19</v>
      </c>
      <c r="I219" s="29">
        <f>L219</f>
        <v>1800</v>
      </c>
      <c r="J219" s="11"/>
      <c r="K219" s="11"/>
      <c r="L219" s="29">
        <f>L220+L221</f>
        <v>1800</v>
      </c>
      <c r="M219" s="29"/>
      <c r="N219" s="29"/>
      <c r="Q219" s="58"/>
      <c r="R219" s="58"/>
      <c r="S219" s="58"/>
      <c r="T219" s="58"/>
      <c r="U219" s="58"/>
      <c r="V219" s="58"/>
      <c r="W219" s="200" t="s">
        <v>26</v>
      </c>
      <c r="X219" s="58"/>
      <c r="Y219" s="58"/>
      <c r="Z219" s="58"/>
      <c r="AA219" s="58"/>
      <c r="AB219" s="58"/>
      <c r="AC219" s="58"/>
    </row>
    <row r="220" spans="1:29" s="1" customFormat="1" ht="25.5" customHeight="1" x14ac:dyDescent="0.2">
      <c r="A220" s="288"/>
      <c r="B220" s="285"/>
      <c r="C220" s="4"/>
      <c r="D220" s="33"/>
      <c r="E220" s="33"/>
      <c r="F220" s="60"/>
      <c r="G220" s="60"/>
      <c r="H220" s="26" t="s">
        <v>20</v>
      </c>
      <c r="I220" s="29">
        <f>L220</f>
        <v>1746</v>
      </c>
      <c r="J220" s="11"/>
      <c r="K220" s="11"/>
      <c r="L220" s="29">
        <v>1746</v>
      </c>
      <c r="M220" s="29"/>
      <c r="N220" s="29"/>
      <c r="Q220" s="58"/>
      <c r="R220" s="58"/>
      <c r="S220" s="58"/>
      <c r="T220" s="58"/>
      <c r="U220" s="58"/>
      <c r="V220" s="58"/>
      <c r="W220" s="201"/>
      <c r="X220" s="58"/>
      <c r="Y220" s="58"/>
      <c r="Z220" s="58"/>
      <c r="AA220" s="58"/>
      <c r="AB220" s="58"/>
      <c r="AC220" s="58"/>
    </row>
    <row r="221" spans="1:29" s="1" customFormat="1" ht="45" customHeight="1" x14ac:dyDescent="0.2">
      <c r="A221" s="304"/>
      <c r="B221" s="286"/>
      <c r="C221" s="4"/>
      <c r="D221" s="33"/>
      <c r="E221" s="33"/>
      <c r="F221" s="60"/>
      <c r="G221" s="60"/>
      <c r="H221" s="64" t="s">
        <v>208</v>
      </c>
      <c r="I221" s="29">
        <f>L221</f>
        <v>54</v>
      </c>
      <c r="J221" s="11"/>
      <c r="K221" s="11"/>
      <c r="L221" s="29">
        <v>54</v>
      </c>
      <c r="M221" s="29"/>
      <c r="N221" s="29"/>
      <c r="Q221" s="58"/>
      <c r="R221" s="58"/>
      <c r="S221" s="58"/>
      <c r="T221" s="58"/>
      <c r="U221" s="58"/>
      <c r="V221" s="58"/>
      <c r="W221" s="207"/>
      <c r="X221" s="58"/>
      <c r="Y221" s="58"/>
      <c r="Z221" s="58"/>
      <c r="AA221" s="58"/>
      <c r="AB221" s="58"/>
      <c r="AC221" s="58"/>
    </row>
    <row r="222" spans="1:29" s="1" customFormat="1" ht="25.5" customHeight="1" x14ac:dyDescent="0.2">
      <c r="A222" s="287" t="s">
        <v>230</v>
      </c>
      <c r="B222" s="284" t="s">
        <v>232</v>
      </c>
      <c r="C222" s="4"/>
      <c r="D222" s="33"/>
      <c r="E222" s="33"/>
      <c r="F222" s="60"/>
      <c r="G222" s="60"/>
      <c r="H222" s="64" t="s">
        <v>19</v>
      </c>
      <c r="I222" s="29">
        <f>N222</f>
        <v>315</v>
      </c>
      <c r="J222" s="11"/>
      <c r="K222" s="11"/>
      <c r="L222" s="29"/>
      <c r="M222" s="29"/>
      <c r="N222" s="29">
        <f>N224</f>
        <v>315</v>
      </c>
      <c r="Q222" s="58"/>
      <c r="R222" s="58"/>
      <c r="S222" s="58"/>
      <c r="T222" s="58"/>
      <c r="U222" s="58"/>
      <c r="V222" s="58"/>
      <c r="W222" s="200" t="s">
        <v>26</v>
      </c>
      <c r="X222" s="58"/>
      <c r="Y222" s="58"/>
      <c r="Z222" s="58"/>
      <c r="AA222" s="58"/>
      <c r="AB222" s="58"/>
      <c r="AC222" s="58"/>
    </row>
    <row r="223" spans="1:29" s="1" customFormat="1" ht="25.5" customHeight="1" x14ac:dyDescent="0.2">
      <c r="A223" s="288"/>
      <c r="B223" s="285"/>
      <c r="C223" s="4"/>
      <c r="D223" s="33"/>
      <c r="E223" s="33"/>
      <c r="F223" s="60"/>
      <c r="G223" s="60"/>
      <c r="H223" s="64" t="s">
        <v>20</v>
      </c>
      <c r="I223" s="29"/>
      <c r="J223" s="11"/>
      <c r="K223" s="11"/>
      <c r="L223" s="29"/>
      <c r="M223" s="29"/>
      <c r="N223" s="29"/>
      <c r="Q223" s="58"/>
      <c r="R223" s="58"/>
      <c r="S223" s="58"/>
      <c r="T223" s="58"/>
      <c r="U223" s="58"/>
      <c r="V223" s="58"/>
      <c r="W223" s="201"/>
      <c r="X223" s="58"/>
      <c r="Y223" s="58"/>
      <c r="Z223" s="58"/>
      <c r="AA223" s="58"/>
      <c r="AB223" s="58"/>
      <c r="AC223" s="58"/>
    </row>
    <row r="224" spans="1:29" s="1" customFormat="1" ht="25.5" customHeight="1" x14ac:dyDescent="0.2">
      <c r="A224" s="304"/>
      <c r="B224" s="286"/>
      <c r="C224" s="4"/>
      <c r="D224" s="33"/>
      <c r="E224" s="33"/>
      <c r="F224" s="60"/>
      <c r="G224" s="60"/>
      <c r="H224" s="64" t="s">
        <v>16</v>
      </c>
      <c r="I224" s="29">
        <f>N224</f>
        <v>315</v>
      </c>
      <c r="J224" s="11"/>
      <c r="K224" s="11"/>
      <c r="L224" s="29"/>
      <c r="M224" s="29"/>
      <c r="N224" s="29">
        <v>315</v>
      </c>
      <c r="Q224" s="58"/>
      <c r="R224" s="58"/>
      <c r="S224" s="58"/>
      <c r="T224" s="58"/>
      <c r="U224" s="58"/>
      <c r="V224" s="58"/>
      <c r="W224" s="207"/>
      <c r="X224" s="58"/>
      <c r="Y224" s="58"/>
      <c r="Z224" s="58"/>
      <c r="AA224" s="58"/>
      <c r="AB224" s="58"/>
      <c r="AC224" s="58"/>
    </row>
    <row r="225" spans="1:29" s="1" customFormat="1" ht="25.5" customHeight="1" x14ac:dyDescent="0.2">
      <c r="A225" s="123"/>
      <c r="B225" s="237" t="s">
        <v>304</v>
      </c>
      <c r="C225" s="91"/>
      <c r="D225" s="5"/>
      <c r="E225" s="5"/>
      <c r="F225" s="133"/>
      <c r="G225" s="133"/>
      <c r="H225" s="63" t="s">
        <v>19</v>
      </c>
      <c r="I225" s="11"/>
      <c r="J225" s="11"/>
      <c r="K225" s="11"/>
      <c r="L225" s="11"/>
      <c r="M225" s="11"/>
      <c r="N225" s="11"/>
      <c r="O225" s="92"/>
      <c r="P225" s="92"/>
      <c r="Q225" s="93"/>
      <c r="R225" s="93"/>
      <c r="S225" s="93"/>
      <c r="T225" s="93"/>
      <c r="U225" s="93"/>
      <c r="V225" s="93"/>
      <c r="W225" s="227" t="s">
        <v>26</v>
      </c>
      <c r="X225" s="58"/>
      <c r="Y225" s="58"/>
      <c r="Z225" s="58"/>
      <c r="AA225" s="58"/>
      <c r="AB225" s="58"/>
      <c r="AC225" s="58"/>
    </row>
    <row r="226" spans="1:29" s="1" customFormat="1" ht="25.5" customHeight="1" x14ac:dyDescent="0.2">
      <c r="A226" s="124" t="s">
        <v>299</v>
      </c>
      <c r="B226" s="307"/>
      <c r="C226" s="91"/>
      <c r="D226" s="5"/>
      <c r="E226" s="5"/>
      <c r="F226" s="133"/>
      <c r="G226" s="133"/>
      <c r="H226" s="63" t="s">
        <v>20</v>
      </c>
      <c r="I226" s="11"/>
      <c r="J226" s="11"/>
      <c r="K226" s="11"/>
      <c r="L226" s="11"/>
      <c r="M226" s="11"/>
      <c r="N226" s="11"/>
      <c r="O226" s="92"/>
      <c r="P226" s="92"/>
      <c r="Q226" s="93"/>
      <c r="R226" s="93"/>
      <c r="S226" s="93"/>
      <c r="T226" s="93"/>
      <c r="U226" s="93"/>
      <c r="V226" s="93"/>
      <c r="W226" s="228"/>
      <c r="X226" s="58"/>
      <c r="Y226" s="58"/>
      <c r="Z226" s="58"/>
      <c r="AA226" s="58"/>
      <c r="AB226" s="58"/>
      <c r="AC226" s="58"/>
    </row>
    <row r="227" spans="1:29" s="1" customFormat="1" ht="25.5" customHeight="1" x14ac:dyDescent="0.2">
      <c r="A227" s="125"/>
      <c r="B227" s="308"/>
      <c r="C227" s="91"/>
      <c r="D227" s="5"/>
      <c r="E227" s="5"/>
      <c r="F227" s="133"/>
      <c r="G227" s="133"/>
      <c r="H227" s="63" t="s">
        <v>16</v>
      </c>
      <c r="I227" s="11"/>
      <c r="J227" s="11"/>
      <c r="K227" s="11"/>
      <c r="L227" s="11"/>
      <c r="M227" s="11"/>
      <c r="N227" s="11"/>
      <c r="O227" s="92"/>
      <c r="P227" s="92"/>
      <c r="Q227" s="93"/>
      <c r="R227" s="93"/>
      <c r="S227" s="93"/>
      <c r="T227" s="93"/>
      <c r="U227" s="93"/>
      <c r="V227" s="93"/>
      <c r="W227" s="229"/>
      <c r="X227" s="58"/>
      <c r="Y227" s="58"/>
      <c r="Z227" s="58"/>
      <c r="AA227" s="58"/>
      <c r="AB227" s="58"/>
      <c r="AC227" s="58"/>
    </row>
    <row r="228" spans="1:29" s="160" customFormat="1" ht="25.5" customHeight="1" x14ac:dyDescent="0.2">
      <c r="A228" s="153"/>
      <c r="B228" s="314" t="s">
        <v>325</v>
      </c>
      <c r="C228" s="154"/>
      <c r="D228" s="155"/>
      <c r="E228" s="155"/>
      <c r="F228" s="156"/>
      <c r="G228" s="156"/>
      <c r="H228" s="157" t="s">
        <v>19</v>
      </c>
      <c r="I228" s="45">
        <f>K228</f>
        <v>1237.1134</v>
      </c>
      <c r="J228" s="45"/>
      <c r="K228" s="45">
        <f>K230</f>
        <v>1237.1134</v>
      </c>
      <c r="L228" s="45"/>
      <c r="M228" s="45"/>
      <c r="N228" s="45"/>
      <c r="O228" s="158"/>
      <c r="P228" s="158"/>
      <c r="Q228" s="159"/>
      <c r="R228" s="159"/>
      <c r="S228" s="159"/>
      <c r="T228" s="159"/>
      <c r="U228" s="159"/>
      <c r="V228" s="159"/>
      <c r="W228" s="322" t="s">
        <v>26</v>
      </c>
      <c r="X228" s="74"/>
      <c r="Y228" s="74"/>
      <c r="Z228" s="74"/>
      <c r="AA228" s="74"/>
      <c r="AB228" s="74"/>
      <c r="AC228" s="74"/>
    </row>
    <row r="229" spans="1:29" s="160" customFormat="1" ht="25.5" customHeight="1" x14ac:dyDescent="0.2">
      <c r="A229" s="161" t="s">
        <v>324</v>
      </c>
      <c r="B229" s="320"/>
      <c r="C229" s="154"/>
      <c r="D229" s="155"/>
      <c r="E229" s="155"/>
      <c r="F229" s="156"/>
      <c r="G229" s="156"/>
      <c r="H229" s="157" t="s">
        <v>20</v>
      </c>
      <c r="I229" s="45"/>
      <c r="J229" s="45"/>
      <c r="K229" s="45"/>
      <c r="L229" s="45"/>
      <c r="M229" s="45"/>
      <c r="N229" s="45"/>
      <c r="O229" s="158"/>
      <c r="P229" s="158"/>
      <c r="Q229" s="159"/>
      <c r="R229" s="159"/>
      <c r="S229" s="159"/>
      <c r="T229" s="159"/>
      <c r="U229" s="159"/>
      <c r="V229" s="159"/>
      <c r="W229" s="323"/>
      <c r="X229" s="74"/>
      <c r="Y229" s="74"/>
      <c r="Z229" s="74"/>
      <c r="AA229" s="74"/>
      <c r="AB229" s="74"/>
      <c r="AC229" s="74"/>
    </row>
    <row r="230" spans="1:29" s="160" customFormat="1" ht="25.5" customHeight="1" x14ac:dyDescent="0.2">
      <c r="A230" s="162"/>
      <c r="B230" s="321"/>
      <c r="C230" s="154"/>
      <c r="D230" s="155"/>
      <c r="E230" s="155"/>
      <c r="F230" s="156"/>
      <c r="G230" s="156"/>
      <c r="H230" s="157" t="s">
        <v>16</v>
      </c>
      <c r="I230" s="45">
        <f>K230</f>
        <v>1237.1134</v>
      </c>
      <c r="J230" s="45"/>
      <c r="K230" s="45">
        <v>1237.1134</v>
      </c>
      <c r="L230" s="45"/>
      <c r="M230" s="45"/>
      <c r="N230" s="45"/>
      <c r="O230" s="158"/>
      <c r="P230" s="158"/>
      <c r="Q230" s="159"/>
      <c r="R230" s="159"/>
      <c r="S230" s="159"/>
      <c r="T230" s="159"/>
      <c r="U230" s="159"/>
      <c r="V230" s="159"/>
      <c r="W230" s="324"/>
      <c r="X230" s="74"/>
      <c r="Y230" s="74"/>
      <c r="Z230" s="74"/>
      <c r="AA230" s="74"/>
      <c r="AB230" s="74"/>
      <c r="AC230" s="74"/>
    </row>
    <row r="231" spans="1:29" s="1" customFormat="1" ht="56.25" customHeight="1" x14ac:dyDescent="0.2">
      <c r="A231" s="124" t="s">
        <v>301</v>
      </c>
      <c r="B231" s="314" t="s">
        <v>302</v>
      </c>
      <c r="C231" s="4"/>
      <c r="D231" s="33"/>
      <c r="E231" s="33"/>
      <c r="F231" s="60"/>
      <c r="G231" s="60"/>
      <c r="H231" s="75" t="s">
        <v>19</v>
      </c>
      <c r="I231" s="45">
        <f>J231</f>
        <v>0</v>
      </c>
      <c r="J231" s="45"/>
      <c r="K231" s="11"/>
      <c r="L231" s="29"/>
      <c r="M231" s="29"/>
      <c r="N231" s="29"/>
      <c r="Q231" s="58"/>
      <c r="R231" s="58"/>
      <c r="S231" s="58"/>
      <c r="T231" s="58"/>
      <c r="U231" s="58"/>
      <c r="V231" s="58"/>
      <c r="W231" s="105"/>
      <c r="X231" s="58"/>
      <c r="Y231" s="58"/>
      <c r="Z231" s="58"/>
      <c r="AA231" s="58"/>
      <c r="AB231" s="58"/>
      <c r="AC231" s="58"/>
    </row>
    <row r="232" spans="1:29" s="1" customFormat="1" ht="25.5" hidden="1" customHeight="1" x14ac:dyDescent="0.2">
      <c r="A232" s="124" t="s">
        <v>299</v>
      </c>
      <c r="B232" s="315"/>
      <c r="C232" s="4"/>
      <c r="D232" s="33"/>
      <c r="E232" s="33"/>
      <c r="F232" s="60"/>
      <c r="G232" s="60"/>
      <c r="H232" s="75" t="s">
        <v>20</v>
      </c>
      <c r="I232" s="45"/>
      <c r="J232" s="45"/>
      <c r="K232" s="11"/>
      <c r="L232" s="29"/>
      <c r="M232" s="29"/>
      <c r="N232" s="84"/>
      <c r="Q232" s="58"/>
      <c r="R232" s="58"/>
      <c r="S232" s="58"/>
      <c r="T232" s="58"/>
      <c r="U232" s="58"/>
      <c r="V232" s="58"/>
      <c r="W232" s="105"/>
      <c r="X232" s="58"/>
      <c r="Y232" s="58"/>
      <c r="Z232" s="58"/>
      <c r="AA232" s="58"/>
      <c r="AB232" s="58"/>
      <c r="AC232" s="58"/>
    </row>
    <row r="233" spans="1:29" s="1" customFormat="1" ht="20.25" customHeight="1" x14ac:dyDescent="0.2">
      <c r="A233" s="118"/>
      <c r="B233" s="316"/>
      <c r="C233" s="4"/>
      <c r="D233" s="33"/>
      <c r="E233" s="33"/>
      <c r="F233" s="60"/>
      <c r="G233" s="60"/>
      <c r="H233" s="75" t="s">
        <v>16</v>
      </c>
      <c r="I233" s="45">
        <f>J233</f>
        <v>0</v>
      </c>
      <c r="J233" s="45"/>
      <c r="K233" s="11"/>
      <c r="L233" s="29"/>
      <c r="M233" s="29"/>
      <c r="N233" s="29"/>
      <c r="Q233" s="58"/>
      <c r="R233" s="58"/>
      <c r="S233" s="58"/>
      <c r="T233" s="58"/>
      <c r="U233" s="58"/>
      <c r="V233" s="58"/>
      <c r="W233" s="105"/>
      <c r="X233" s="58"/>
      <c r="Y233" s="58"/>
      <c r="Z233" s="58"/>
      <c r="AA233" s="58"/>
      <c r="AB233" s="58"/>
      <c r="AC233" s="58"/>
    </row>
    <row r="234" spans="1:29" s="1" customFormat="1" ht="26.25" customHeight="1" x14ac:dyDescent="0.2">
      <c r="A234" s="317" t="s">
        <v>46</v>
      </c>
      <c r="B234" s="237" t="s">
        <v>47</v>
      </c>
      <c r="C234" s="4"/>
      <c r="D234" s="33"/>
      <c r="E234" s="33"/>
      <c r="F234" s="60"/>
      <c r="G234" s="60"/>
      <c r="H234" s="15" t="s">
        <v>19</v>
      </c>
      <c r="I234" s="11">
        <f>I237+I252+I267+I285+I303+I318+I334+I347</f>
        <v>98176.973259999999</v>
      </c>
      <c r="J234" s="45">
        <f>J236</f>
        <v>24580.684009999997</v>
      </c>
      <c r="K234" s="11">
        <f>K236</f>
        <v>17633.608249999997</v>
      </c>
      <c r="L234" s="11">
        <f t="shared" ref="L234:N234" si="17">L236</f>
        <v>18654.226999999999</v>
      </c>
      <c r="M234" s="11">
        <f t="shared" si="17"/>
        <v>18654.226999999999</v>
      </c>
      <c r="N234" s="11">
        <f t="shared" si="17"/>
        <v>18654.226999999999</v>
      </c>
      <c r="Q234" s="58"/>
      <c r="R234" s="58"/>
      <c r="S234" s="58"/>
      <c r="T234" s="58"/>
      <c r="U234" s="58"/>
      <c r="V234" s="58"/>
      <c r="W234" s="182"/>
      <c r="X234" s="58"/>
      <c r="Y234" s="58"/>
      <c r="Z234" s="58"/>
      <c r="AA234" s="58"/>
      <c r="AB234" s="58"/>
      <c r="AC234" s="58"/>
    </row>
    <row r="235" spans="1:29" s="1" customFormat="1" ht="21.75" customHeight="1" x14ac:dyDescent="0.2">
      <c r="A235" s="318"/>
      <c r="B235" s="307"/>
      <c r="C235" s="4"/>
      <c r="D235" s="33"/>
      <c r="E235" s="33"/>
      <c r="F235" s="60"/>
      <c r="G235" s="60"/>
      <c r="H235" s="15" t="s">
        <v>20</v>
      </c>
      <c r="I235" s="9"/>
      <c r="J235" s="44"/>
      <c r="K235" s="9"/>
      <c r="L235" s="9"/>
      <c r="M235" s="9"/>
      <c r="N235" s="9"/>
      <c r="Q235" s="58"/>
      <c r="R235" s="58"/>
      <c r="S235" s="58"/>
      <c r="T235" s="58"/>
      <c r="U235" s="58"/>
      <c r="V235" s="58"/>
      <c r="W235" s="199"/>
      <c r="X235" s="58"/>
      <c r="Y235" s="58"/>
      <c r="Z235" s="58"/>
      <c r="AA235" s="58"/>
      <c r="AB235" s="58"/>
      <c r="AC235" s="58"/>
    </row>
    <row r="236" spans="1:29" s="1" customFormat="1" ht="28.5" customHeight="1" x14ac:dyDescent="0.2">
      <c r="A236" s="319"/>
      <c r="B236" s="308"/>
      <c r="C236" s="4"/>
      <c r="D236" s="33"/>
      <c r="E236" s="33"/>
      <c r="F236" s="60"/>
      <c r="G236" s="60"/>
      <c r="H236" s="15" t="s">
        <v>16</v>
      </c>
      <c r="I236" s="45">
        <f>I239+I254+I269+I287+I305+I320+I336+I349</f>
        <v>98176.973259999999</v>
      </c>
      <c r="J236" s="45">
        <f>J239+J254+J269+J287+J305+J320+J336+J349</f>
        <v>24580.684009999997</v>
      </c>
      <c r="K236" s="45">
        <f>K239+K254+K269+K287+K305+K320+K336</f>
        <v>17633.608249999997</v>
      </c>
      <c r="L236" s="45">
        <f>L239+L254+L269+L287+L305+L320+L336</f>
        <v>18654.226999999999</v>
      </c>
      <c r="M236" s="45">
        <f>M239+M254+M269+M287+M305+M320+M336</f>
        <v>18654.226999999999</v>
      </c>
      <c r="N236" s="45">
        <f>N239+N254+N269+N287+N305+N320+N336</f>
        <v>18654.226999999999</v>
      </c>
      <c r="Q236" s="58"/>
      <c r="R236" s="58"/>
      <c r="S236" s="58"/>
      <c r="T236" s="58"/>
      <c r="U236" s="58"/>
      <c r="V236" s="58"/>
      <c r="W236" s="199"/>
      <c r="X236" s="58"/>
      <c r="Y236" s="58"/>
      <c r="Z236" s="58"/>
      <c r="AA236" s="58"/>
      <c r="AB236" s="58"/>
      <c r="AC236" s="58"/>
    </row>
    <row r="237" spans="1:29" s="1" customFormat="1" ht="27" customHeight="1" x14ac:dyDescent="0.2">
      <c r="A237" s="292" t="s">
        <v>48</v>
      </c>
      <c r="B237" s="237" t="s">
        <v>49</v>
      </c>
      <c r="C237" s="4"/>
      <c r="D237" s="33"/>
      <c r="E237" s="33"/>
      <c r="F237" s="60"/>
      <c r="G237" s="60"/>
      <c r="H237" s="15" t="s">
        <v>19</v>
      </c>
      <c r="I237" s="11">
        <f t="shared" ref="I237:N237" si="18">I239</f>
        <v>15013.903900000001</v>
      </c>
      <c r="J237" s="11">
        <f t="shared" si="18"/>
        <v>2887.0479</v>
      </c>
      <c r="K237" s="11">
        <f t="shared" si="18"/>
        <v>2956.7139999999999</v>
      </c>
      <c r="L237" s="11">
        <f t="shared" si="18"/>
        <v>3056.7139999999999</v>
      </c>
      <c r="M237" s="11">
        <f t="shared" si="18"/>
        <v>3056.7139999999999</v>
      </c>
      <c r="N237" s="11">
        <f t="shared" si="18"/>
        <v>3056.7139999999999</v>
      </c>
      <c r="Q237" s="58"/>
      <c r="R237" s="58"/>
      <c r="S237" s="58"/>
      <c r="T237" s="58"/>
      <c r="U237" s="58"/>
      <c r="V237" s="58"/>
      <c r="W237" s="182"/>
      <c r="X237" s="58"/>
      <c r="Y237" s="58"/>
      <c r="Z237" s="58"/>
      <c r="AA237" s="58"/>
      <c r="AB237" s="58"/>
      <c r="AC237" s="58"/>
    </row>
    <row r="238" spans="1:29" s="1" customFormat="1" ht="22.5" customHeight="1" x14ac:dyDescent="0.2">
      <c r="A238" s="305"/>
      <c r="B238" s="307"/>
      <c r="C238" s="4"/>
      <c r="D238" s="33"/>
      <c r="E238" s="33"/>
      <c r="F238" s="60"/>
      <c r="G238" s="60"/>
      <c r="H238" s="15" t="s">
        <v>20</v>
      </c>
      <c r="I238" s="11"/>
      <c r="J238" s="11"/>
      <c r="K238" s="11"/>
      <c r="L238" s="11"/>
      <c r="M238" s="11"/>
      <c r="N238" s="11"/>
      <c r="Q238" s="58"/>
      <c r="R238" s="58"/>
      <c r="S238" s="58"/>
      <c r="T238" s="58"/>
      <c r="U238" s="58"/>
      <c r="V238" s="58"/>
      <c r="W238" s="199"/>
      <c r="X238" s="58"/>
      <c r="Y238" s="58"/>
      <c r="Z238" s="58"/>
      <c r="AA238" s="58"/>
      <c r="AB238" s="58"/>
      <c r="AC238" s="58"/>
    </row>
    <row r="239" spans="1:29" s="1" customFormat="1" ht="30.75" customHeight="1" x14ac:dyDescent="0.2">
      <c r="A239" s="306"/>
      <c r="B239" s="308"/>
      <c r="C239" s="4"/>
      <c r="D239" s="33"/>
      <c r="E239" s="33"/>
      <c r="F239" s="60"/>
      <c r="G239" s="60"/>
      <c r="H239" s="15" t="s">
        <v>16</v>
      </c>
      <c r="I239" s="11">
        <f>I242+I245+I248+I251</f>
        <v>15013.903900000001</v>
      </c>
      <c r="J239" s="11">
        <f>J242+J245+J251+J248</f>
        <v>2887.0479</v>
      </c>
      <c r="K239" s="11">
        <f t="shared" ref="K239:N239" si="19">K242+K245+K251</f>
        <v>2956.7139999999999</v>
      </c>
      <c r="L239" s="11">
        <f t="shared" si="19"/>
        <v>3056.7139999999999</v>
      </c>
      <c r="M239" s="11">
        <f t="shared" si="19"/>
        <v>3056.7139999999999</v>
      </c>
      <c r="N239" s="11">
        <f t="shared" si="19"/>
        <v>3056.7139999999999</v>
      </c>
      <c r="Q239" s="58"/>
      <c r="R239" s="58"/>
      <c r="S239" s="58"/>
      <c r="T239" s="58"/>
      <c r="U239" s="58"/>
      <c r="V239" s="58"/>
      <c r="W239" s="199"/>
      <c r="X239" s="58"/>
      <c r="Y239" s="58"/>
      <c r="Z239" s="58"/>
      <c r="AA239" s="58"/>
      <c r="AB239" s="58"/>
      <c r="AC239" s="58"/>
    </row>
    <row r="240" spans="1:29" s="1" customFormat="1" ht="36.75" customHeight="1" x14ac:dyDescent="0.2">
      <c r="A240" s="287" t="s">
        <v>50</v>
      </c>
      <c r="B240" s="284" t="s">
        <v>144</v>
      </c>
      <c r="C240" s="4"/>
      <c r="D240" s="33"/>
      <c r="E240" s="33"/>
      <c r="F240" s="60"/>
      <c r="G240" s="60"/>
      <c r="H240" s="26" t="s">
        <v>19</v>
      </c>
      <c r="I240" s="9">
        <f>J240+K240+L240+M240+N240</f>
        <v>5095.09933</v>
      </c>
      <c r="J240" s="9">
        <f>J242</f>
        <v>1412.24333</v>
      </c>
      <c r="K240" s="9">
        <f t="shared" ref="K240:N240" si="20">K242</f>
        <v>920.71399999999994</v>
      </c>
      <c r="L240" s="9">
        <f t="shared" si="20"/>
        <v>920.71399999999994</v>
      </c>
      <c r="M240" s="9">
        <f t="shared" si="20"/>
        <v>920.71399999999994</v>
      </c>
      <c r="N240" s="9">
        <f t="shared" si="20"/>
        <v>920.71399999999994</v>
      </c>
      <c r="Q240" s="58"/>
      <c r="R240" s="58"/>
      <c r="S240" s="58"/>
      <c r="T240" s="58"/>
      <c r="U240" s="58"/>
      <c r="V240" s="58"/>
      <c r="W240" s="252" t="s">
        <v>26</v>
      </c>
      <c r="X240" s="58"/>
      <c r="Y240" s="58"/>
      <c r="Z240" s="58"/>
      <c r="AA240" s="58"/>
      <c r="AB240" s="58"/>
      <c r="AC240" s="58"/>
    </row>
    <row r="241" spans="1:29" s="1" customFormat="1" ht="32.25" customHeight="1" x14ac:dyDescent="0.2">
      <c r="A241" s="288"/>
      <c r="B241" s="285"/>
      <c r="C241" s="4"/>
      <c r="D241" s="33"/>
      <c r="E241" s="33"/>
      <c r="F241" s="60"/>
      <c r="G241" s="60"/>
      <c r="H241" s="26" t="s">
        <v>20</v>
      </c>
      <c r="I241" s="9"/>
      <c r="J241" s="9"/>
      <c r="K241" s="9"/>
      <c r="L241" s="9"/>
      <c r="M241" s="9"/>
      <c r="N241" s="9"/>
      <c r="Q241" s="58"/>
      <c r="R241" s="58"/>
      <c r="S241" s="58"/>
      <c r="T241" s="58"/>
      <c r="U241" s="58"/>
      <c r="V241" s="58"/>
      <c r="W241" s="208"/>
      <c r="X241" s="58"/>
      <c r="Y241" s="58"/>
      <c r="Z241" s="58"/>
      <c r="AA241" s="58"/>
      <c r="AB241" s="58"/>
      <c r="AC241" s="58"/>
    </row>
    <row r="242" spans="1:29" s="1" customFormat="1" ht="33" customHeight="1" x14ac:dyDescent="0.2">
      <c r="A242" s="304"/>
      <c r="B242" s="286"/>
      <c r="C242" s="4"/>
      <c r="D242" s="33"/>
      <c r="E242" s="33"/>
      <c r="F242" s="60"/>
      <c r="G242" s="60"/>
      <c r="H242" s="26" t="s">
        <v>16</v>
      </c>
      <c r="I242" s="9">
        <f>J242+K242+L242+M242+N242</f>
        <v>5095.09933</v>
      </c>
      <c r="J242" s="9">
        <v>1412.24333</v>
      </c>
      <c r="K242" s="9">
        <f>990-69.2862+0.0002</f>
        <v>920.71399999999994</v>
      </c>
      <c r="L242" s="9">
        <f>990-69.2862+0.0002</f>
        <v>920.71399999999994</v>
      </c>
      <c r="M242" s="9">
        <f>990-69.2862+0.0002</f>
        <v>920.71399999999994</v>
      </c>
      <c r="N242" s="9">
        <f>990-69.2862+0.0002</f>
        <v>920.71399999999994</v>
      </c>
      <c r="Q242" s="58"/>
      <c r="R242" s="58"/>
      <c r="S242" s="58"/>
      <c r="T242" s="58"/>
      <c r="U242" s="58"/>
      <c r="V242" s="58"/>
      <c r="W242" s="209"/>
      <c r="X242" s="58"/>
      <c r="Y242" s="58"/>
      <c r="Z242" s="58"/>
      <c r="AA242" s="58"/>
      <c r="AB242" s="58"/>
      <c r="AC242" s="58"/>
    </row>
    <row r="243" spans="1:29" s="1" customFormat="1" ht="22.5" customHeight="1" x14ac:dyDescent="0.2">
      <c r="A243" s="118"/>
      <c r="B243" s="284" t="s">
        <v>154</v>
      </c>
      <c r="C243" s="4"/>
      <c r="D243" s="33"/>
      <c r="E243" s="33"/>
      <c r="F243" s="60"/>
      <c r="G243" s="60"/>
      <c r="H243" s="26" t="s">
        <v>19</v>
      </c>
      <c r="I243" s="9">
        <f>J243+K243+L243+M243+N243</f>
        <v>3180</v>
      </c>
      <c r="J243" s="9">
        <v>0</v>
      </c>
      <c r="K243" s="9">
        <f t="shared" ref="K243:N243" si="21">K245</f>
        <v>720</v>
      </c>
      <c r="L243" s="9">
        <f t="shared" si="21"/>
        <v>820</v>
      </c>
      <c r="M243" s="9">
        <f t="shared" si="21"/>
        <v>820</v>
      </c>
      <c r="N243" s="9">
        <f t="shared" si="21"/>
        <v>820</v>
      </c>
      <c r="Q243" s="58"/>
      <c r="R243" s="58"/>
      <c r="S243" s="58"/>
      <c r="T243" s="58"/>
      <c r="U243" s="58"/>
      <c r="V243" s="58"/>
      <c r="W243" s="252" t="s">
        <v>26</v>
      </c>
      <c r="X243" s="58"/>
      <c r="Y243" s="58"/>
      <c r="Z243" s="58"/>
      <c r="AA243" s="58"/>
      <c r="AB243" s="58"/>
      <c r="AC243" s="58"/>
    </row>
    <row r="244" spans="1:29" s="1" customFormat="1" ht="33" customHeight="1" x14ac:dyDescent="0.2">
      <c r="A244" s="118" t="s">
        <v>51</v>
      </c>
      <c r="B244" s="285"/>
      <c r="C244" s="4"/>
      <c r="D244" s="33"/>
      <c r="E244" s="33"/>
      <c r="F244" s="60"/>
      <c r="G244" s="60"/>
      <c r="H244" s="26" t="s">
        <v>20</v>
      </c>
      <c r="I244" s="9"/>
      <c r="J244" s="9"/>
      <c r="K244" s="9"/>
      <c r="L244" s="9"/>
      <c r="M244" s="9"/>
      <c r="N244" s="9"/>
      <c r="Q244" s="58"/>
      <c r="R244" s="58"/>
      <c r="S244" s="58"/>
      <c r="T244" s="58"/>
      <c r="U244" s="58"/>
      <c r="V244" s="58"/>
      <c r="W244" s="208"/>
      <c r="X244" s="58"/>
      <c r="Y244" s="58"/>
      <c r="Z244" s="58"/>
      <c r="AA244" s="58"/>
      <c r="AB244" s="58"/>
      <c r="AC244" s="58"/>
    </row>
    <row r="245" spans="1:29" s="1" customFormat="1" ht="33" customHeight="1" x14ac:dyDescent="0.2">
      <c r="A245" s="118"/>
      <c r="B245" s="286"/>
      <c r="C245" s="4"/>
      <c r="D245" s="33"/>
      <c r="E245" s="33"/>
      <c r="F245" s="60"/>
      <c r="G245" s="60"/>
      <c r="H245" s="26" t="s">
        <v>16</v>
      </c>
      <c r="I245" s="9">
        <f>J245+K245+L245+M245+N245</f>
        <v>3180</v>
      </c>
      <c r="J245" s="9">
        <v>0</v>
      </c>
      <c r="K245" s="9">
        <v>720</v>
      </c>
      <c r="L245" s="9">
        <f t="shared" ref="L245:N245" si="22">890-70</f>
        <v>820</v>
      </c>
      <c r="M245" s="9">
        <f t="shared" si="22"/>
        <v>820</v>
      </c>
      <c r="N245" s="9">
        <f t="shared" si="22"/>
        <v>820</v>
      </c>
      <c r="Q245" s="58"/>
      <c r="R245" s="58"/>
      <c r="S245" s="58"/>
      <c r="T245" s="58"/>
      <c r="U245" s="58"/>
      <c r="V245" s="58"/>
      <c r="W245" s="209"/>
      <c r="X245" s="58"/>
      <c r="Y245" s="58"/>
      <c r="Z245" s="58"/>
      <c r="AA245" s="58"/>
      <c r="AB245" s="58"/>
      <c r="AC245" s="58"/>
    </row>
    <row r="246" spans="1:29" s="1" customFormat="1" ht="33" customHeight="1" x14ac:dyDescent="0.2">
      <c r="A246" s="118"/>
      <c r="B246" s="230" t="s">
        <v>326</v>
      </c>
      <c r="C246" s="4"/>
      <c r="D246" s="33"/>
      <c r="E246" s="33"/>
      <c r="F246" s="60"/>
      <c r="G246" s="60"/>
      <c r="H246" s="26" t="s">
        <v>19</v>
      </c>
      <c r="I246" s="9">
        <f>J246</f>
        <v>71</v>
      </c>
      <c r="J246" s="9">
        <f>J248</f>
        <v>71</v>
      </c>
      <c r="K246" s="9"/>
      <c r="L246" s="9"/>
      <c r="M246" s="9"/>
      <c r="N246" s="9"/>
      <c r="Q246" s="58"/>
      <c r="R246" s="58"/>
      <c r="S246" s="58"/>
      <c r="T246" s="58"/>
      <c r="U246" s="58"/>
      <c r="V246" s="58"/>
      <c r="W246" s="252" t="s">
        <v>26</v>
      </c>
      <c r="X246" s="58"/>
      <c r="Y246" s="58"/>
      <c r="Z246" s="58"/>
      <c r="AA246" s="58"/>
      <c r="AB246" s="58"/>
      <c r="AC246" s="58"/>
    </row>
    <row r="247" spans="1:29" s="1" customFormat="1" ht="33" customHeight="1" x14ac:dyDescent="0.2">
      <c r="A247" s="118" t="s">
        <v>117</v>
      </c>
      <c r="B247" s="328"/>
      <c r="C247" s="4"/>
      <c r="D247" s="33"/>
      <c r="E247" s="33"/>
      <c r="F247" s="60"/>
      <c r="G247" s="60"/>
      <c r="H247" s="26" t="s">
        <v>20</v>
      </c>
      <c r="I247" s="9"/>
      <c r="J247" s="9"/>
      <c r="K247" s="9"/>
      <c r="L247" s="9"/>
      <c r="M247" s="9"/>
      <c r="N247" s="9"/>
      <c r="Q247" s="58"/>
      <c r="R247" s="58"/>
      <c r="S247" s="58"/>
      <c r="T247" s="58"/>
      <c r="U247" s="58"/>
      <c r="V247" s="58"/>
      <c r="W247" s="208"/>
      <c r="X247" s="58"/>
      <c r="Y247" s="58"/>
      <c r="Z247" s="58"/>
      <c r="AA247" s="58"/>
      <c r="AB247" s="58"/>
      <c r="AC247" s="58"/>
    </row>
    <row r="248" spans="1:29" s="1" customFormat="1" ht="33" customHeight="1" x14ac:dyDescent="0.2">
      <c r="A248" s="118"/>
      <c r="B248" s="232"/>
      <c r="C248" s="4"/>
      <c r="D248" s="33"/>
      <c r="E248" s="33"/>
      <c r="F248" s="60"/>
      <c r="G248" s="60"/>
      <c r="H248" s="26" t="s">
        <v>16</v>
      </c>
      <c r="I248" s="9">
        <f>J248</f>
        <v>71</v>
      </c>
      <c r="J248" s="9">
        <v>71</v>
      </c>
      <c r="K248" s="9"/>
      <c r="L248" s="9"/>
      <c r="M248" s="9"/>
      <c r="N248" s="9"/>
      <c r="Q248" s="58"/>
      <c r="R248" s="58"/>
      <c r="S248" s="58"/>
      <c r="T248" s="58"/>
      <c r="U248" s="58"/>
      <c r="V248" s="58"/>
      <c r="W248" s="209"/>
      <c r="X248" s="58"/>
      <c r="Y248" s="58"/>
      <c r="Z248" s="58"/>
      <c r="AA248" s="58"/>
      <c r="AB248" s="58"/>
      <c r="AC248" s="58"/>
    </row>
    <row r="249" spans="1:29" s="1" customFormat="1" ht="19.5" customHeight="1" x14ac:dyDescent="0.2">
      <c r="A249" s="325" t="s">
        <v>307</v>
      </c>
      <c r="B249" s="284" t="s">
        <v>124</v>
      </c>
      <c r="C249" s="4"/>
      <c r="D249" s="33"/>
      <c r="E249" s="33"/>
      <c r="F249" s="60"/>
      <c r="G249" s="60"/>
      <c r="H249" s="26" t="s">
        <v>19</v>
      </c>
      <c r="I249" s="9">
        <f t="shared" ref="I249:N249" si="23">I251</f>
        <v>6667.8045700000002</v>
      </c>
      <c r="J249" s="9">
        <f t="shared" si="23"/>
        <v>1403.80457</v>
      </c>
      <c r="K249" s="9">
        <f t="shared" si="23"/>
        <v>1316</v>
      </c>
      <c r="L249" s="9">
        <f t="shared" si="23"/>
        <v>1316</v>
      </c>
      <c r="M249" s="9">
        <f t="shared" si="23"/>
        <v>1316</v>
      </c>
      <c r="N249" s="9">
        <f t="shared" si="23"/>
        <v>1316</v>
      </c>
      <c r="Q249" s="58"/>
      <c r="R249" s="58"/>
      <c r="S249" s="58"/>
      <c r="T249" s="58"/>
      <c r="U249" s="58"/>
      <c r="V249" s="58"/>
      <c r="W249" s="182" t="s">
        <v>26</v>
      </c>
      <c r="X249" s="58"/>
      <c r="Y249" s="58"/>
      <c r="Z249" s="58"/>
      <c r="AA249" s="58"/>
      <c r="AB249" s="58"/>
      <c r="AC249" s="58"/>
    </row>
    <row r="250" spans="1:29" s="1" customFormat="1" ht="24.75" customHeight="1" x14ac:dyDescent="0.2">
      <c r="A250" s="326"/>
      <c r="B250" s="285"/>
      <c r="C250" s="4"/>
      <c r="D250" s="33"/>
      <c r="E250" s="33"/>
      <c r="F250" s="60"/>
      <c r="G250" s="60"/>
      <c r="H250" s="26" t="s">
        <v>20</v>
      </c>
      <c r="I250" s="9"/>
      <c r="J250" s="9"/>
      <c r="K250" s="9"/>
      <c r="L250" s="9"/>
      <c r="M250" s="9"/>
      <c r="N250" s="9"/>
      <c r="Q250" s="58"/>
      <c r="R250" s="58"/>
      <c r="S250" s="58"/>
      <c r="T250" s="58"/>
      <c r="U250" s="58"/>
      <c r="V250" s="58"/>
      <c r="W250" s="199"/>
      <c r="X250" s="58"/>
      <c r="Y250" s="58"/>
      <c r="Z250" s="58"/>
      <c r="AA250" s="58"/>
      <c r="AB250" s="58"/>
      <c r="AC250" s="58"/>
    </row>
    <row r="251" spans="1:29" s="1" customFormat="1" ht="38.25" customHeight="1" x14ac:dyDescent="0.2">
      <c r="A251" s="327"/>
      <c r="B251" s="286"/>
      <c r="C251" s="4"/>
      <c r="D251" s="33"/>
      <c r="E251" s="33"/>
      <c r="F251" s="60"/>
      <c r="G251" s="60"/>
      <c r="H251" s="26" t="s">
        <v>16</v>
      </c>
      <c r="I251" s="9">
        <f>J251+K251+L251+M251+N251</f>
        <v>6667.8045700000002</v>
      </c>
      <c r="J251" s="9">
        <f>1068.33337+335.4712</f>
        <v>1403.80457</v>
      </c>
      <c r="K251" s="9">
        <f t="shared" ref="K251:N251" si="24">1385-69</f>
        <v>1316</v>
      </c>
      <c r="L251" s="9">
        <f t="shared" si="24"/>
        <v>1316</v>
      </c>
      <c r="M251" s="9">
        <f t="shared" si="24"/>
        <v>1316</v>
      </c>
      <c r="N251" s="9">
        <f t="shared" si="24"/>
        <v>1316</v>
      </c>
      <c r="Q251" s="58"/>
      <c r="R251" s="58"/>
      <c r="S251" s="58"/>
      <c r="T251" s="58"/>
      <c r="U251" s="58"/>
      <c r="V251" s="58"/>
      <c r="W251" s="199"/>
      <c r="X251" s="58"/>
      <c r="Y251" s="58"/>
      <c r="Z251" s="58"/>
      <c r="AA251" s="58"/>
      <c r="AB251" s="58"/>
      <c r="AC251" s="58"/>
    </row>
    <row r="252" spans="1:29" s="1" customFormat="1" ht="27.75" customHeight="1" x14ac:dyDescent="0.2">
      <c r="A252" s="292" t="s">
        <v>53</v>
      </c>
      <c r="B252" s="237" t="s">
        <v>52</v>
      </c>
      <c r="C252" s="4"/>
      <c r="D252" s="33"/>
      <c r="E252" s="33"/>
      <c r="F252" s="60"/>
      <c r="G252" s="60"/>
      <c r="H252" s="15" t="s">
        <v>19</v>
      </c>
      <c r="I252" s="11">
        <f t="shared" ref="I252:N252" si="25">I254</f>
        <v>17024.60008</v>
      </c>
      <c r="J252" s="11">
        <f t="shared" si="25"/>
        <v>2958.3448800000001</v>
      </c>
      <c r="K252" s="11">
        <f t="shared" si="25"/>
        <v>3271.3137999999999</v>
      </c>
      <c r="L252" s="11">
        <f t="shared" si="25"/>
        <v>3598.3137999999999</v>
      </c>
      <c r="M252" s="11">
        <f t="shared" si="25"/>
        <v>3598.3137999999999</v>
      </c>
      <c r="N252" s="11">
        <f t="shared" si="25"/>
        <v>3598.3137999999999</v>
      </c>
      <c r="Q252" s="58"/>
      <c r="R252" s="58"/>
      <c r="S252" s="58"/>
      <c r="T252" s="58"/>
      <c r="U252" s="58"/>
      <c r="V252" s="58"/>
      <c r="W252" s="182"/>
      <c r="X252" s="58"/>
      <c r="Y252" s="58"/>
      <c r="Z252" s="58"/>
      <c r="AA252" s="58"/>
      <c r="AB252" s="58"/>
      <c r="AC252" s="58"/>
    </row>
    <row r="253" spans="1:29" s="1" customFormat="1" ht="21.75" customHeight="1" x14ac:dyDescent="0.2">
      <c r="A253" s="305"/>
      <c r="B253" s="307"/>
      <c r="C253" s="4"/>
      <c r="D253" s="33"/>
      <c r="E253" s="33"/>
      <c r="F253" s="60"/>
      <c r="G253" s="60"/>
      <c r="H253" s="15" t="s">
        <v>20</v>
      </c>
      <c r="I253" s="11"/>
      <c r="J253" s="11"/>
      <c r="K253" s="11"/>
      <c r="L253" s="11"/>
      <c r="M253" s="11"/>
      <c r="N253" s="11"/>
      <c r="Q253" s="58"/>
      <c r="R253" s="58"/>
      <c r="S253" s="58"/>
      <c r="T253" s="58"/>
      <c r="U253" s="58"/>
      <c r="V253" s="58"/>
      <c r="W253" s="199"/>
      <c r="X253" s="58"/>
      <c r="Y253" s="58"/>
      <c r="Z253" s="58"/>
      <c r="AA253" s="58"/>
      <c r="AB253" s="58"/>
      <c r="AC253" s="58"/>
    </row>
    <row r="254" spans="1:29" s="1" customFormat="1" ht="36.75" customHeight="1" x14ac:dyDescent="0.2">
      <c r="A254" s="306"/>
      <c r="B254" s="308"/>
      <c r="C254" s="4"/>
      <c r="D254" s="33"/>
      <c r="E254" s="33"/>
      <c r="F254" s="60"/>
      <c r="G254" s="60"/>
      <c r="H254" s="15" t="s">
        <v>16</v>
      </c>
      <c r="I254" s="11">
        <f>I260+I263+I266</f>
        <v>17024.60008</v>
      </c>
      <c r="J254" s="11">
        <f>J260+J263+J266</f>
        <v>2958.3448800000001</v>
      </c>
      <c r="K254" s="11">
        <f t="shared" ref="K254:N254" si="26">K260+K263+K266</f>
        <v>3271.3137999999999</v>
      </c>
      <c r="L254" s="11">
        <f t="shared" si="26"/>
        <v>3598.3137999999999</v>
      </c>
      <c r="M254" s="11">
        <f t="shared" si="26"/>
        <v>3598.3137999999999</v>
      </c>
      <c r="N254" s="11">
        <f t="shared" si="26"/>
        <v>3598.3137999999999</v>
      </c>
      <c r="Q254" s="58"/>
      <c r="R254" s="58"/>
      <c r="S254" s="58"/>
      <c r="T254" s="58"/>
      <c r="U254" s="58"/>
      <c r="V254" s="58"/>
      <c r="W254" s="199"/>
      <c r="X254" s="58"/>
      <c r="Y254" s="58"/>
      <c r="Z254" s="58"/>
      <c r="AA254" s="58"/>
      <c r="AB254" s="58"/>
      <c r="AC254" s="58"/>
    </row>
    <row r="255" spans="1:29" s="1" customFormat="1" ht="24.75" hidden="1" customHeight="1" x14ac:dyDescent="0.2">
      <c r="A255" s="287" t="s">
        <v>56</v>
      </c>
      <c r="B255" s="284" t="s">
        <v>118</v>
      </c>
      <c r="C255" s="4"/>
      <c r="D255" s="33"/>
      <c r="E255" s="33"/>
      <c r="F255" s="60"/>
      <c r="G255" s="60"/>
      <c r="H255" s="26" t="s">
        <v>19</v>
      </c>
      <c r="I255" s="9">
        <f>J255</f>
        <v>0</v>
      </c>
      <c r="J255" s="9">
        <f>J257</f>
        <v>0</v>
      </c>
      <c r="K255" s="20"/>
      <c r="L255" s="9"/>
      <c r="M255" s="9"/>
      <c r="N255" s="9"/>
      <c r="Q255" s="58"/>
      <c r="R255" s="58"/>
      <c r="S255" s="58"/>
      <c r="T255" s="58"/>
      <c r="U255" s="58"/>
      <c r="V255" s="58"/>
      <c r="W255" s="113"/>
      <c r="X255" s="58"/>
      <c r="Y255" s="58"/>
      <c r="Z255" s="58"/>
      <c r="AA255" s="58"/>
      <c r="AB255" s="58"/>
      <c r="AC255" s="58"/>
    </row>
    <row r="256" spans="1:29" s="1" customFormat="1" ht="28.5" hidden="1" customHeight="1" x14ac:dyDescent="0.2">
      <c r="A256" s="288"/>
      <c r="B256" s="285"/>
      <c r="C256" s="4"/>
      <c r="D256" s="33"/>
      <c r="E256" s="33"/>
      <c r="F256" s="60"/>
      <c r="G256" s="60"/>
      <c r="H256" s="26" t="s">
        <v>20</v>
      </c>
      <c r="I256" s="9"/>
      <c r="J256" s="9"/>
      <c r="K256" s="20"/>
      <c r="L256" s="9"/>
      <c r="M256" s="9"/>
      <c r="N256" s="9"/>
      <c r="Q256" s="58"/>
      <c r="R256" s="58"/>
      <c r="S256" s="58"/>
      <c r="T256" s="58"/>
      <c r="U256" s="58"/>
      <c r="V256" s="58"/>
      <c r="W256" s="113"/>
      <c r="X256" s="58"/>
      <c r="Y256" s="58"/>
      <c r="Z256" s="58"/>
      <c r="AA256" s="58"/>
      <c r="AB256" s="58"/>
      <c r="AC256" s="58"/>
    </row>
    <row r="257" spans="1:29" s="1" customFormat="1" ht="28.5" hidden="1" customHeight="1" x14ac:dyDescent="0.2">
      <c r="A257" s="304"/>
      <c r="B257" s="286"/>
      <c r="C257" s="4"/>
      <c r="D257" s="33"/>
      <c r="E257" s="33"/>
      <c r="F257" s="60"/>
      <c r="G257" s="60"/>
      <c r="H257" s="26" t="s">
        <v>16</v>
      </c>
      <c r="I257" s="9">
        <f>J257</f>
        <v>0</v>
      </c>
      <c r="J257" s="9"/>
      <c r="K257" s="20"/>
      <c r="L257" s="9"/>
      <c r="M257" s="9"/>
      <c r="N257" s="9"/>
      <c r="Q257" s="58"/>
      <c r="R257" s="58"/>
      <c r="S257" s="58"/>
      <c r="T257" s="58"/>
      <c r="U257" s="58"/>
      <c r="V257" s="58"/>
      <c r="W257" s="113"/>
      <c r="X257" s="58"/>
      <c r="Y257" s="58"/>
      <c r="Z257" s="58"/>
      <c r="AA257" s="58"/>
      <c r="AB257" s="58"/>
      <c r="AC257" s="58"/>
    </row>
    <row r="258" spans="1:29" s="1" customFormat="1" ht="30.75" customHeight="1" x14ac:dyDescent="0.2">
      <c r="A258" s="287" t="s">
        <v>55</v>
      </c>
      <c r="B258" s="284" t="s">
        <v>147</v>
      </c>
      <c r="C258" s="4"/>
      <c r="D258" s="33"/>
      <c r="E258" s="33"/>
      <c r="F258" s="60"/>
      <c r="G258" s="60"/>
      <c r="H258" s="26" t="s">
        <v>19</v>
      </c>
      <c r="I258" s="9">
        <f>I260</f>
        <v>5996.1952099999999</v>
      </c>
      <c r="J258" s="9">
        <f>J260</f>
        <v>1470.94001</v>
      </c>
      <c r="K258" s="9">
        <f t="shared" ref="K258:N258" si="27">K260</f>
        <v>1131.3137999999999</v>
      </c>
      <c r="L258" s="9">
        <f t="shared" si="27"/>
        <v>1131.3137999999999</v>
      </c>
      <c r="M258" s="9">
        <f t="shared" si="27"/>
        <v>1131.3137999999999</v>
      </c>
      <c r="N258" s="9">
        <f t="shared" si="27"/>
        <v>1131.3137999999999</v>
      </c>
      <c r="Q258" s="58"/>
      <c r="R258" s="58"/>
      <c r="S258" s="58"/>
      <c r="T258" s="58"/>
      <c r="U258" s="58"/>
      <c r="V258" s="58"/>
      <c r="W258" s="311" t="s">
        <v>26</v>
      </c>
      <c r="X258" s="58"/>
      <c r="Y258" s="58"/>
      <c r="Z258" s="58"/>
      <c r="AA258" s="58"/>
      <c r="AB258" s="58"/>
      <c r="AC258" s="58"/>
    </row>
    <row r="259" spans="1:29" s="1" customFormat="1" ht="21" customHeight="1" x14ac:dyDescent="0.2">
      <c r="A259" s="288"/>
      <c r="B259" s="285"/>
      <c r="C259" s="4"/>
      <c r="D259" s="33"/>
      <c r="E259" s="33"/>
      <c r="F259" s="60"/>
      <c r="G259" s="60"/>
      <c r="H259" s="26" t="s">
        <v>20</v>
      </c>
      <c r="I259" s="9"/>
      <c r="J259" s="9"/>
      <c r="K259" s="9"/>
      <c r="L259" s="9"/>
      <c r="M259" s="9"/>
      <c r="N259" s="9"/>
      <c r="Q259" s="58"/>
      <c r="R259" s="58"/>
      <c r="S259" s="58"/>
      <c r="T259" s="58"/>
      <c r="U259" s="58"/>
      <c r="V259" s="58"/>
      <c r="W259" s="312"/>
      <c r="X259" s="58"/>
      <c r="Y259" s="58"/>
      <c r="Z259" s="58"/>
      <c r="AA259" s="58"/>
      <c r="AB259" s="58"/>
      <c r="AC259" s="58"/>
    </row>
    <row r="260" spans="1:29" s="1" customFormat="1" ht="45" customHeight="1" x14ac:dyDescent="0.2">
      <c r="A260" s="304"/>
      <c r="B260" s="286"/>
      <c r="C260" s="4"/>
      <c r="D260" s="33"/>
      <c r="E260" s="33"/>
      <c r="F260" s="60"/>
      <c r="G260" s="60"/>
      <c r="H260" s="26" t="s">
        <v>16</v>
      </c>
      <c r="I260" s="9">
        <f>J260+K260+L260+M260+N260</f>
        <v>5996.1952099999999</v>
      </c>
      <c r="J260" s="9">
        <v>1470.94001</v>
      </c>
      <c r="K260" s="9">
        <f t="shared" ref="K260:N260" si="28">1200.6-69.2862</f>
        <v>1131.3137999999999</v>
      </c>
      <c r="L260" s="9">
        <f t="shared" si="28"/>
        <v>1131.3137999999999</v>
      </c>
      <c r="M260" s="9">
        <f t="shared" si="28"/>
        <v>1131.3137999999999</v>
      </c>
      <c r="N260" s="9">
        <f t="shared" si="28"/>
        <v>1131.3137999999999</v>
      </c>
      <c r="Q260" s="58"/>
      <c r="R260" s="58"/>
      <c r="S260" s="58"/>
      <c r="T260" s="58"/>
      <c r="U260" s="58"/>
      <c r="V260" s="58"/>
      <c r="W260" s="313"/>
      <c r="X260" s="58"/>
      <c r="Y260" s="58"/>
      <c r="Z260" s="58"/>
      <c r="AA260" s="58"/>
      <c r="AB260" s="58"/>
      <c r="AC260" s="58"/>
    </row>
    <row r="261" spans="1:29" s="1" customFormat="1" ht="28.5" customHeight="1" x14ac:dyDescent="0.2">
      <c r="A261" s="287" t="s">
        <v>56</v>
      </c>
      <c r="B261" s="284" t="s">
        <v>295</v>
      </c>
      <c r="C261" s="4"/>
      <c r="D261" s="33"/>
      <c r="E261" s="33"/>
      <c r="F261" s="60"/>
      <c r="G261" s="60"/>
      <c r="H261" s="26" t="s">
        <v>19</v>
      </c>
      <c r="I261" s="9">
        <f>I263</f>
        <v>3617</v>
      </c>
      <c r="J261" s="9"/>
      <c r="K261" s="9">
        <f>K263</f>
        <v>659</v>
      </c>
      <c r="L261" s="9">
        <f t="shared" ref="L261:N261" si="29">L263</f>
        <v>986</v>
      </c>
      <c r="M261" s="9">
        <f t="shared" si="29"/>
        <v>986</v>
      </c>
      <c r="N261" s="9">
        <f t="shared" si="29"/>
        <v>986</v>
      </c>
      <c r="Q261" s="58"/>
      <c r="R261" s="58"/>
      <c r="S261" s="58"/>
      <c r="T261" s="58"/>
      <c r="U261" s="58"/>
      <c r="V261" s="58"/>
      <c r="W261" s="252" t="s">
        <v>26</v>
      </c>
      <c r="X261" s="58"/>
      <c r="Y261" s="58"/>
      <c r="Z261" s="58"/>
      <c r="AA261" s="58"/>
      <c r="AB261" s="58"/>
      <c r="AC261" s="58"/>
    </row>
    <row r="262" spans="1:29" s="1" customFormat="1" ht="28.5" customHeight="1" x14ac:dyDescent="0.2">
      <c r="A262" s="288"/>
      <c r="B262" s="285"/>
      <c r="C262" s="4"/>
      <c r="D262" s="33"/>
      <c r="E262" s="33"/>
      <c r="F262" s="60"/>
      <c r="G262" s="60"/>
      <c r="H262" s="26" t="s">
        <v>20</v>
      </c>
      <c r="I262" s="9"/>
      <c r="J262" s="9"/>
      <c r="K262" s="9"/>
      <c r="L262" s="9"/>
      <c r="M262" s="9"/>
      <c r="N262" s="9"/>
      <c r="Q262" s="58"/>
      <c r="R262" s="58"/>
      <c r="S262" s="58"/>
      <c r="T262" s="58"/>
      <c r="U262" s="58"/>
      <c r="V262" s="58"/>
      <c r="W262" s="208"/>
      <c r="X262" s="58"/>
      <c r="Y262" s="58"/>
      <c r="Z262" s="58"/>
      <c r="AA262" s="58"/>
      <c r="AB262" s="58"/>
      <c r="AC262" s="58"/>
    </row>
    <row r="263" spans="1:29" s="1" customFormat="1" ht="28.5" customHeight="1" x14ac:dyDescent="0.2">
      <c r="A263" s="304"/>
      <c r="B263" s="286"/>
      <c r="C263" s="4"/>
      <c r="D263" s="33"/>
      <c r="E263" s="33"/>
      <c r="F263" s="60"/>
      <c r="G263" s="60"/>
      <c r="H263" s="26" t="s">
        <v>16</v>
      </c>
      <c r="I263" s="9">
        <f>J263+K263+L263+M263+N263</f>
        <v>3617</v>
      </c>
      <c r="J263" s="9"/>
      <c r="K263" s="9">
        <v>659</v>
      </c>
      <c r="L263" s="9">
        <f t="shared" ref="L263:N263" si="30">1065-79</f>
        <v>986</v>
      </c>
      <c r="M263" s="9">
        <f t="shared" si="30"/>
        <v>986</v>
      </c>
      <c r="N263" s="9">
        <f t="shared" si="30"/>
        <v>986</v>
      </c>
      <c r="Q263" s="58"/>
      <c r="R263" s="58"/>
      <c r="S263" s="58"/>
      <c r="T263" s="58"/>
      <c r="U263" s="58"/>
      <c r="V263" s="58"/>
      <c r="W263" s="209"/>
      <c r="X263" s="58"/>
      <c r="Y263" s="58"/>
      <c r="Z263" s="58"/>
      <c r="AA263" s="58"/>
      <c r="AB263" s="58"/>
      <c r="AC263" s="58"/>
    </row>
    <row r="264" spans="1:29" s="1" customFormat="1" x14ac:dyDescent="0.2">
      <c r="A264" s="325" t="s">
        <v>127</v>
      </c>
      <c r="B264" s="284" t="s">
        <v>109</v>
      </c>
      <c r="C264" s="4"/>
      <c r="D264" s="33"/>
      <c r="E264" s="33"/>
      <c r="F264" s="60"/>
      <c r="G264" s="60"/>
      <c r="H264" s="26" t="s">
        <v>19</v>
      </c>
      <c r="I264" s="9">
        <f t="shared" ref="I264:N264" si="31">I266</f>
        <v>7411.4048700000003</v>
      </c>
      <c r="J264" s="9">
        <f t="shared" si="31"/>
        <v>1487.4048700000001</v>
      </c>
      <c r="K264" s="9">
        <f t="shared" si="31"/>
        <v>1481</v>
      </c>
      <c r="L264" s="9">
        <f t="shared" si="31"/>
        <v>1481</v>
      </c>
      <c r="M264" s="9">
        <f t="shared" si="31"/>
        <v>1481</v>
      </c>
      <c r="N264" s="9">
        <f t="shared" si="31"/>
        <v>1481</v>
      </c>
      <c r="Q264" s="58"/>
      <c r="R264" s="58"/>
      <c r="S264" s="58"/>
      <c r="T264" s="58"/>
      <c r="U264" s="58"/>
      <c r="V264" s="58"/>
      <c r="W264" s="182" t="s">
        <v>26</v>
      </c>
      <c r="X264" s="58"/>
      <c r="Y264" s="58"/>
      <c r="Z264" s="58"/>
      <c r="AA264" s="58"/>
      <c r="AB264" s="58"/>
      <c r="AC264" s="58"/>
    </row>
    <row r="265" spans="1:29" s="1" customFormat="1" x14ac:dyDescent="0.2">
      <c r="A265" s="326"/>
      <c r="B265" s="285"/>
      <c r="C265" s="4"/>
      <c r="D265" s="33"/>
      <c r="E265" s="33"/>
      <c r="F265" s="60"/>
      <c r="G265" s="60"/>
      <c r="H265" s="26" t="s">
        <v>20</v>
      </c>
      <c r="I265" s="9"/>
      <c r="J265" s="9"/>
      <c r="K265" s="9"/>
      <c r="L265" s="9"/>
      <c r="M265" s="9"/>
      <c r="N265" s="9"/>
      <c r="Q265" s="58"/>
      <c r="R265" s="58"/>
      <c r="S265" s="58"/>
      <c r="T265" s="58"/>
      <c r="U265" s="58"/>
      <c r="V265" s="58"/>
      <c r="W265" s="199"/>
      <c r="X265" s="58"/>
      <c r="Y265" s="58"/>
      <c r="Z265" s="58"/>
      <c r="AA265" s="58"/>
      <c r="AB265" s="58"/>
      <c r="AC265" s="58"/>
    </row>
    <row r="266" spans="1:29" s="1" customFormat="1" ht="39.75" customHeight="1" x14ac:dyDescent="0.2">
      <c r="A266" s="327"/>
      <c r="B266" s="286"/>
      <c r="C266" s="4"/>
      <c r="D266" s="33"/>
      <c r="E266" s="33"/>
      <c r="F266" s="60"/>
      <c r="G266" s="60"/>
      <c r="H266" s="26" t="s">
        <v>16</v>
      </c>
      <c r="I266" s="9">
        <f>J266+K266+L266+M266+N266</f>
        <v>7411.4048700000003</v>
      </c>
      <c r="J266" s="9">
        <f>1112+375.40487</f>
        <v>1487.4048700000001</v>
      </c>
      <c r="K266" s="9">
        <f t="shared" ref="K266:N266" si="32">1550-69</f>
        <v>1481</v>
      </c>
      <c r="L266" s="9">
        <f t="shared" si="32"/>
        <v>1481</v>
      </c>
      <c r="M266" s="9">
        <f t="shared" si="32"/>
        <v>1481</v>
      </c>
      <c r="N266" s="9">
        <f t="shared" si="32"/>
        <v>1481</v>
      </c>
      <c r="Q266" s="58"/>
      <c r="R266" s="58"/>
      <c r="S266" s="58"/>
      <c r="T266" s="58"/>
      <c r="U266" s="58"/>
      <c r="V266" s="58"/>
      <c r="W266" s="199"/>
      <c r="X266" s="58"/>
      <c r="Y266" s="58"/>
      <c r="Z266" s="58"/>
      <c r="AA266" s="58"/>
      <c r="AB266" s="58"/>
      <c r="AC266" s="58"/>
    </row>
    <row r="267" spans="1:29" s="1" customFormat="1" ht="21" customHeight="1" x14ac:dyDescent="0.2">
      <c r="A267" s="292" t="s">
        <v>54</v>
      </c>
      <c r="B267" s="237" t="s">
        <v>59</v>
      </c>
      <c r="C267" s="4"/>
      <c r="D267" s="33"/>
      <c r="E267" s="33"/>
      <c r="F267" s="60"/>
      <c r="G267" s="60"/>
      <c r="H267" s="15" t="s">
        <v>19</v>
      </c>
      <c r="I267" s="11">
        <f>I273+I276+I279+I282</f>
        <v>12588.999590000001</v>
      </c>
      <c r="J267" s="11">
        <f>J269</f>
        <v>2829.4631399999998</v>
      </c>
      <c r="K267" s="11">
        <f t="shared" ref="K267:N267" si="33">K269</f>
        <v>2400.1950500000003</v>
      </c>
      <c r="L267" s="11">
        <f t="shared" si="33"/>
        <v>2453.1138000000001</v>
      </c>
      <c r="M267" s="11">
        <f t="shared" si="33"/>
        <v>2453.1138000000001</v>
      </c>
      <c r="N267" s="11">
        <f t="shared" si="33"/>
        <v>2453.1138000000001</v>
      </c>
      <c r="Q267" s="58"/>
      <c r="R267" s="58"/>
      <c r="S267" s="58"/>
      <c r="T267" s="58"/>
      <c r="U267" s="58"/>
      <c r="V267" s="58"/>
      <c r="W267" s="182"/>
      <c r="X267" s="58"/>
      <c r="Y267" s="58"/>
      <c r="Z267" s="58"/>
      <c r="AA267" s="58"/>
      <c r="AB267" s="58"/>
      <c r="AC267" s="58"/>
    </row>
    <row r="268" spans="1:29" s="1" customFormat="1" ht="20.25" customHeight="1" x14ac:dyDescent="0.2">
      <c r="A268" s="305"/>
      <c r="B268" s="307"/>
      <c r="C268" s="4"/>
      <c r="D268" s="33"/>
      <c r="E268" s="33"/>
      <c r="F268" s="60"/>
      <c r="G268" s="60"/>
      <c r="H268" s="15" t="s">
        <v>20</v>
      </c>
      <c r="I268" s="11"/>
      <c r="J268" s="11"/>
      <c r="K268" s="22"/>
      <c r="L268" s="11"/>
      <c r="M268" s="11"/>
      <c r="N268" s="11"/>
      <c r="Q268" s="58"/>
      <c r="R268" s="58"/>
      <c r="S268" s="58"/>
      <c r="T268" s="58"/>
      <c r="U268" s="58"/>
      <c r="V268" s="58"/>
      <c r="W268" s="199"/>
      <c r="X268" s="58"/>
      <c r="Y268" s="58"/>
      <c r="Z268" s="58"/>
      <c r="AA268" s="58"/>
      <c r="AB268" s="58"/>
      <c r="AC268" s="58"/>
    </row>
    <row r="269" spans="1:29" s="1" customFormat="1" ht="21.75" customHeight="1" x14ac:dyDescent="0.2">
      <c r="A269" s="306"/>
      <c r="B269" s="308"/>
      <c r="C269" s="4"/>
      <c r="D269" s="33"/>
      <c r="E269" s="33"/>
      <c r="F269" s="60"/>
      <c r="G269" s="60"/>
      <c r="H269" s="15" t="s">
        <v>16</v>
      </c>
      <c r="I269" s="11">
        <f>I275+I278+I281+I284</f>
        <v>12588.999590000001</v>
      </c>
      <c r="J269" s="11">
        <f>J275+J278+J281+J284</f>
        <v>2829.4631399999998</v>
      </c>
      <c r="K269" s="11">
        <f t="shared" ref="K269:N269" si="34">K275+K278+K281</f>
        <v>2400.1950500000003</v>
      </c>
      <c r="L269" s="11">
        <f t="shared" si="34"/>
        <v>2453.1138000000001</v>
      </c>
      <c r="M269" s="11">
        <f t="shared" si="34"/>
        <v>2453.1138000000001</v>
      </c>
      <c r="N269" s="11">
        <f t="shared" si="34"/>
        <v>2453.1138000000001</v>
      </c>
      <c r="Q269" s="58"/>
      <c r="R269" s="58"/>
      <c r="S269" s="58"/>
      <c r="T269" s="58"/>
      <c r="U269" s="58"/>
      <c r="V269" s="58"/>
      <c r="W269" s="199"/>
      <c r="X269" s="58"/>
      <c r="Y269" s="58"/>
      <c r="Z269" s="58"/>
      <c r="AA269" s="58"/>
      <c r="AB269" s="58"/>
      <c r="AC269" s="58"/>
    </row>
    <row r="270" spans="1:29" s="1" customFormat="1" ht="23.25" hidden="1" customHeight="1" x14ac:dyDescent="0.2">
      <c r="A270" s="268" t="s">
        <v>58</v>
      </c>
      <c r="B270" s="295" t="s">
        <v>119</v>
      </c>
      <c r="C270" s="49"/>
      <c r="D270" s="6"/>
      <c r="E270" s="6"/>
      <c r="F270" s="8"/>
      <c r="G270" s="8"/>
      <c r="H270" s="26" t="s">
        <v>19</v>
      </c>
      <c r="I270" s="9">
        <f>J270</f>
        <v>0</v>
      </c>
      <c r="J270" s="9">
        <f>J272</f>
        <v>0</v>
      </c>
      <c r="K270" s="20"/>
      <c r="L270" s="9"/>
      <c r="M270" s="9"/>
      <c r="N270" s="9"/>
      <c r="Q270" s="58"/>
      <c r="R270" s="58"/>
      <c r="S270" s="58"/>
      <c r="T270" s="58"/>
      <c r="U270" s="58"/>
      <c r="V270" s="58"/>
      <c r="W270" s="99"/>
      <c r="X270" s="58"/>
      <c r="Y270" s="58"/>
      <c r="Z270" s="58"/>
      <c r="AA270" s="58"/>
      <c r="AB270" s="58"/>
      <c r="AC270" s="58"/>
    </row>
    <row r="271" spans="1:29" s="1" customFormat="1" ht="23.25" hidden="1" customHeight="1" x14ac:dyDescent="0.2">
      <c r="A271" s="269"/>
      <c r="B271" s="296"/>
      <c r="C271" s="49"/>
      <c r="D271" s="6"/>
      <c r="E271" s="6"/>
      <c r="F271" s="8"/>
      <c r="G271" s="8"/>
      <c r="H271" s="26" t="s">
        <v>20</v>
      </c>
      <c r="I271" s="9"/>
      <c r="J271" s="9"/>
      <c r="K271" s="20"/>
      <c r="L271" s="9"/>
      <c r="M271" s="9"/>
      <c r="N271" s="9"/>
      <c r="Q271" s="58"/>
      <c r="R271" s="58"/>
      <c r="S271" s="58"/>
      <c r="T271" s="58"/>
      <c r="U271" s="58"/>
      <c r="V271" s="58"/>
      <c r="W271" s="99"/>
      <c r="X271" s="58"/>
      <c r="Y271" s="58"/>
      <c r="Z271" s="58"/>
      <c r="AA271" s="58"/>
      <c r="AB271" s="58"/>
      <c r="AC271" s="58"/>
    </row>
    <row r="272" spans="1:29" s="1" customFormat="1" ht="23.25" hidden="1" customHeight="1" x14ac:dyDescent="0.2">
      <c r="A272" s="270"/>
      <c r="B272" s="297"/>
      <c r="C272" s="49"/>
      <c r="D272" s="6"/>
      <c r="E272" s="6"/>
      <c r="F272" s="8"/>
      <c r="G272" s="8"/>
      <c r="H272" s="26" t="s">
        <v>16</v>
      </c>
      <c r="I272" s="9">
        <f>J272</f>
        <v>0</v>
      </c>
      <c r="J272" s="9"/>
      <c r="K272" s="20"/>
      <c r="L272" s="9"/>
      <c r="M272" s="9"/>
      <c r="N272" s="9"/>
      <c r="Q272" s="58"/>
      <c r="R272" s="58"/>
      <c r="S272" s="58"/>
      <c r="T272" s="58"/>
      <c r="U272" s="58"/>
      <c r="V272" s="58"/>
      <c r="W272" s="99"/>
      <c r="X272" s="58"/>
      <c r="Y272" s="58"/>
      <c r="Z272" s="58"/>
      <c r="AA272" s="58"/>
      <c r="AB272" s="58"/>
      <c r="AC272" s="58"/>
    </row>
    <row r="273" spans="1:29" s="1" customFormat="1" ht="39" customHeight="1" x14ac:dyDescent="0.2">
      <c r="A273" s="268" t="s">
        <v>57</v>
      </c>
      <c r="B273" s="284" t="s">
        <v>148</v>
      </c>
      <c r="C273" s="4"/>
      <c r="D273" s="33"/>
      <c r="E273" s="33"/>
      <c r="F273" s="60"/>
      <c r="G273" s="60"/>
      <c r="H273" s="26" t="s">
        <v>19</v>
      </c>
      <c r="I273" s="9">
        <f>J273+K273+L273+M273+N273</f>
        <v>4396.2755300000008</v>
      </c>
      <c r="J273" s="9">
        <f>J275</f>
        <v>1062.62033</v>
      </c>
      <c r="K273" s="9">
        <f t="shared" ref="K273:N273" si="35">K275</f>
        <v>833.41380000000004</v>
      </c>
      <c r="L273" s="9">
        <f t="shared" si="35"/>
        <v>833.41380000000004</v>
      </c>
      <c r="M273" s="9">
        <f t="shared" si="35"/>
        <v>833.41380000000004</v>
      </c>
      <c r="N273" s="9">
        <f t="shared" si="35"/>
        <v>833.41380000000004</v>
      </c>
      <c r="Q273" s="58"/>
      <c r="R273" s="58"/>
      <c r="S273" s="58"/>
      <c r="T273" s="58"/>
      <c r="U273" s="58"/>
      <c r="V273" s="58"/>
      <c r="W273" s="252" t="s">
        <v>26</v>
      </c>
      <c r="X273" s="58"/>
      <c r="Y273" s="58"/>
      <c r="Z273" s="58"/>
      <c r="AA273" s="58"/>
      <c r="AB273" s="58"/>
      <c r="AC273" s="58"/>
    </row>
    <row r="274" spans="1:29" s="1" customFormat="1" ht="27" customHeight="1" x14ac:dyDescent="0.2">
      <c r="A274" s="269"/>
      <c r="B274" s="285"/>
      <c r="C274" s="4"/>
      <c r="D274" s="33"/>
      <c r="E274" s="33"/>
      <c r="F274" s="60"/>
      <c r="G274" s="60"/>
      <c r="H274" s="26" t="s">
        <v>20</v>
      </c>
      <c r="I274" s="9"/>
      <c r="J274" s="9"/>
      <c r="K274" s="9"/>
      <c r="L274" s="9"/>
      <c r="M274" s="9"/>
      <c r="N274" s="9"/>
      <c r="Q274" s="58"/>
      <c r="R274" s="58"/>
      <c r="S274" s="58"/>
      <c r="T274" s="58"/>
      <c r="U274" s="58"/>
      <c r="V274" s="58"/>
      <c r="W274" s="208"/>
      <c r="X274" s="58"/>
      <c r="Y274" s="58"/>
      <c r="Z274" s="58"/>
      <c r="AA274" s="58"/>
      <c r="AB274" s="58"/>
      <c r="AC274" s="58"/>
    </row>
    <row r="275" spans="1:29" s="1" customFormat="1" ht="34.5" customHeight="1" x14ac:dyDescent="0.2">
      <c r="A275" s="270"/>
      <c r="B275" s="286"/>
      <c r="C275" s="4"/>
      <c r="D275" s="33"/>
      <c r="E275" s="33"/>
      <c r="F275" s="60"/>
      <c r="G275" s="60"/>
      <c r="H275" s="26" t="s">
        <v>16</v>
      </c>
      <c r="I275" s="9">
        <f>J275+K275+L275+M275+N275</f>
        <v>4396.2755300000008</v>
      </c>
      <c r="J275" s="9">
        <v>1062.62033</v>
      </c>
      <c r="K275" s="9">
        <f t="shared" ref="K275:N275" si="36">902.7-69.2862</f>
        <v>833.41380000000004</v>
      </c>
      <c r="L275" s="9">
        <f t="shared" si="36"/>
        <v>833.41380000000004</v>
      </c>
      <c r="M275" s="9">
        <f t="shared" si="36"/>
        <v>833.41380000000004</v>
      </c>
      <c r="N275" s="9">
        <f t="shared" si="36"/>
        <v>833.41380000000004</v>
      </c>
      <c r="Q275" s="58"/>
      <c r="R275" s="58"/>
      <c r="S275" s="58"/>
      <c r="T275" s="58"/>
      <c r="U275" s="58"/>
      <c r="V275" s="58"/>
      <c r="W275" s="209"/>
      <c r="X275" s="58"/>
      <c r="Y275" s="58"/>
      <c r="Z275" s="58"/>
      <c r="AA275" s="58"/>
      <c r="AB275" s="58"/>
      <c r="AC275" s="58"/>
    </row>
    <row r="276" spans="1:29" s="1" customFormat="1" ht="23.25" customHeight="1" x14ac:dyDescent="0.2">
      <c r="A276" s="268" t="s">
        <v>58</v>
      </c>
      <c r="B276" s="295" t="s">
        <v>156</v>
      </c>
      <c r="C276" s="49"/>
      <c r="D276" s="6"/>
      <c r="E276" s="6"/>
      <c r="F276" s="8"/>
      <c r="G276" s="8"/>
      <c r="H276" s="26" t="s">
        <v>19</v>
      </c>
      <c r="I276" s="9">
        <f>J276+K276+L276+M276+N276</f>
        <v>2773.8812500000004</v>
      </c>
      <c r="J276" s="9"/>
      <c r="K276" s="9">
        <f t="shared" ref="K276:N276" si="37">K278</f>
        <v>653.78125</v>
      </c>
      <c r="L276" s="9">
        <f t="shared" si="37"/>
        <v>706.7</v>
      </c>
      <c r="M276" s="9">
        <f t="shared" si="37"/>
        <v>706.7</v>
      </c>
      <c r="N276" s="9">
        <f t="shared" si="37"/>
        <v>706.7</v>
      </c>
      <c r="Q276" s="58"/>
      <c r="R276" s="58"/>
      <c r="S276" s="58"/>
      <c r="T276" s="58"/>
      <c r="U276" s="58"/>
      <c r="V276" s="58"/>
      <c r="W276" s="252" t="s">
        <v>26</v>
      </c>
      <c r="X276" s="58"/>
      <c r="Y276" s="58"/>
      <c r="Z276" s="58"/>
      <c r="AA276" s="58"/>
      <c r="AB276" s="58"/>
      <c r="AC276" s="58"/>
    </row>
    <row r="277" spans="1:29" s="1" customFormat="1" ht="23.25" customHeight="1" x14ac:dyDescent="0.2">
      <c r="A277" s="269"/>
      <c r="B277" s="296"/>
      <c r="C277" s="49"/>
      <c r="D277" s="6"/>
      <c r="E277" s="6"/>
      <c r="F277" s="8"/>
      <c r="G277" s="8"/>
      <c r="H277" s="26" t="s">
        <v>20</v>
      </c>
      <c r="I277" s="9"/>
      <c r="J277" s="9"/>
      <c r="K277" s="9"/>
      <c r="L277" s="9"/>
      <c r="M277" s="9"/>
      <c r="N277" s="9"/>
      <c r="Q277" s="58"/>
      <c r="R277" s="58"/>
      <c r="S277" s="58"/>
      <c r="T277" s="58"/>
      <c r="U277" s="58"/>
      <c r="V277" s="58"/>
      <c r="W277" s="208"/>
      <c r="X277" s="58"/>
      <c r="Y277" s="58"/>
      <c r="Z277" s="58"/>
      <c r="AA277" s="58"/>
      <c r="AB277" s="58"/>
      <c r="AC277" s="58"/>
    </row>
    <row r="278" spans="1:29" s="1" customFormat="1" ht="28.5" customHeight="1" x14ac:dyDescent="0.2">
      <c r="A278" s="270"/>
      <c r="B278" s="297"/>
      <c r="C278" s="49"/>
      <c r="D278" s="6"/>
      <c r="E278" s="6"/>
      <c r="F278" s="8"/>
      <c r="G278" s="8"/>
      <c r="H278" s="26" t="s">
        <v>16</v>
      </c>
      <c r="I278" s="9">
        <f>J278+K278+L278+M278+N278</f>
        <v>2773.8812500000004</v>
      </c>
      <c r="J278" s="9"/>
      <c r="K278" s="9">
        <f>785.7-79-52.91875</f>
        <v>653.78125</v>
      </c>
      <c r="L278" s="9">
        <f t="shared" ref="L278:N278" si="38">785.7-79</f>
        <v>706.7</v>
      </c>
      <c r="M278" s="9">
        <f t="shared" si="38"/>
        <v>706.7</v>
      </c>
      <c r="N278" s="9">
        <f t="shared" si="38"/>
        <v>706.7</v>
      </c>
      <c r="Q278" s="58"/>
      <c r="R278" s="58"/>
      <c r="S278" s="58"/>
      <c r="T278" s="58"/>
      <c r="U278" s="58"/>
      <c r="V278" s="58"/>
      <c r="W278" s="209"/>
      <c r="X278" s="58"/>
      <c r="Y278" s="58"/>
      <c r="Z278" s="58"/>
      <c r="AA278" s="58"/>
      <c r="AB278" s="58"/>
      <c r="AC278" s="58"/>
    </row>
    <row r="279" spans="1:29" s="1" customFormat="1" ht="27" customHeight="1" x14ac:dyDescent="0.2">
      <c r="A279" s="325" t="s">
        <v>130</v>
      </c>
      <c r="B279" s="284" t="s">
        <v>133</v>
      </c>
      <c r="C279" s="4"/>
      <c r="D279" s="33"/>
      <c r="E279" s="33"/>
      <c r="F279" s="60"/>
      <c r="G279" s="60"/>
      <c r="H279" s="26" t="s">
        <v>19</v>
      </c>
      <c r="I279" s="9">
        <f>J279+K279+L279+M279+N279</f>
        <v>4617.9820099999997</v>
      </c>
      <c r="J279" s="9">
        <f>J281</f>
        <v>965.98200999999995</v>
      </c>
      <c r="K279" s="9">
        <f t="shared" ref="K279:N279" si="39">K281</f>
        <v>913</v>
      </c>
      <c r="L279" s="9">
        <f t="shared" si="39"/>
        <v>913</v>
      </c>
      <c r="M279" s="9">
        <f t="shared" si="39"/>
        <v>913</v>
      </c>
      <c r="N279" s="9">
        <f t="shared" si="39"/>
        <v>913</v>
      </c>
      <c r="Q279" s="58"/>
      <c r="R279" s="58"/>
      <c r="S279" s="58"/>
      <c r="T279" s="58"/>
      <c r="U279" s="58"/>
      <c r="V279" s="58"/>
      <c r="W279" s="182" t="s">
        <v>26</v>
      </c>
      <c r="X279" s="58"/>
      <c r="Y279" s="58"/>
      <c r="Z279" s="58"/>
      <c r="AA279" s="58"/>
      <c r="AB279" s="58"/>
      <c r="AC279" s="58"/>
    </row>
    <row r="280" spans="1:29" s="1" customFormat="1" ht="28.5" customHeight="1" x14ac:dyDescent="0.2">
      <c r="A280" s="326"/>
      <c r="B280" s="285"/>
      <c r="C280" s="4"/>
      <c r="D280" s="33"/>
      <c r="E280" s="33"/>
      <c r="F280" s="60"/>
      <c r="G280" s="60"/>
      <c r="H280" s="26" t="s">
        <v>20</v>
      </c>
      <c r="I280" s="9"/>
      <c r="J280" s="9"/>
      <c r="K280" s="9"/>
      <c r="L280" s="9"/>
      <c r="M280" s="9"/>
      <c r="N280" s="9"/>
      <c r="Q280" s="58"/>
      <c r="R280" s="58"/>
      <c r="S280" s="58"/>
      <c r="T280" s="58"/>
      <c r="U280" s="58"/>
      <c r="V280" s="58"/>
      <c r="W280" s="199"/>
      <c r="X280" s="58"/>
      <c r="Y280" s="58"/>
      <c r="Z280" s="58"/>
      <c r="AA280" s="58"/>
      <c r="AB280" s="58"/>
      <c r="AC280" s="58"/>
    </row>
    <row r="281" spans="1:29" s="1" customFormat="1" ht="24" customHeight="1" x14ac:dyDescent="0.2">
      <c r="A281" s="327"/>
      <c r="B281" s="286"/>
      <c r="C281" s="4"/>
      <c r="D281" s="33"/>
      <c r="E281" s="33"/>
      <c r="F281" s="60"/>
      <c r="G281" s="60"/>
      <c r="H281" s="26" t="s">
        <v>16</v>
      </c>
      <c r="I281" s="9">
        <f>J281+K281+L281+M281+N281</f>
        <v>4617.9820099999997</v>
      </c>
      <c r="J281" s="9">
        <f>732.29561+233.6864</f>
        <v>965.98200999999995</v>
      </c>
      <c r="K281" s="9">
        <f t="shared" ref="K281:N281" si="40">982-69</f>
        <v>913</v>
      </c>
      <c r="L281" s="9">
        <f t="shared" si="40"/>
        <v>913</v>
      </c>
      <c r="M281" s="9">
        <f t="shared" si="40"/>
        <v>913</v>
      </c>
      <c r="N281" s="9">
        <f t="shared" si="40"/>
        <v>913</v>
      </c>
      <c r="Q281" s="58"/>
      <c r="R281" s="58"/>
      <c r="S281" s="58"/>
      <c r="T281" s="58"/>
      <c r="U281" s="58"/>
      <c r="V281" s="58"/>
      <c r="W281" s="199"/>
      <c r="X281" s="58"/>
      <c r="Y281" s="58"/>
      <c r="Z281" s="58"/>
      <c r="AA281" s="58"/>
      <c r="AB281" s="58"/>
      <c r="AC281" s="58"/>
    </row>
    <row r="282" spans="1:29" s="1" customFormat="1" ht="24" customHeight="1" x14ac:dyDescent="0.2">
      <c r="A282" s="325" t="s">
        <v>271</v>
      </c>
      <c r="B282" s="284" t="s">
        <v>272</v>
      </c>
      <c r="C282" s="4"/>
      <c r="D282" s="33"/>
      <c r="E282" s="33"/>
      <c r="F282" s="60"/>
      <c r="G282" s="60"/>
      <c r="H282" s="26" t="s">
        <v>19</v>
      </c>
      <c r="I282" s="9">
        <f>I284</f>
        <v>800.86080000000004</v>
      </c>
      <c r="J282" s="9">
        <f>J284</f>
        <v>800.86080000000004</v>
      </c>
      <c r="K282" s="9"/>
      <c r="L282" s="9"/>
      <c r="M282" s="9"/>
      <c r="N282" s="9"/>
      <c r="Q282" s="58"/>
      <c r="R282" s="58"/>
      <c r="S282" s="58"/>
      <c r="T282" s="58"/>
      <c r="U282" s="58"/>
      <c r="V282" s="58"/>
      <c r="W282" s="252" t="s">
        <v>26</v>
      </c>
      <c r="X282" s="58"/>
      <c r="Y282" s="58"/>
      <c r="Z282" s="58"/>
      <c r="AA282" s="58"/>
      <c r="AB282" s="58"/>
      <c r="AC282" s="58"/>
    </row>
    <row r="283" spans="1:29" s="1" customFormat="1" ht="24" customHeight="1" x14ac:dyDescent="0.2">
      <c r="A283" s="326"/>
      <c r="B283" s="285"/>
      <c r="C283" s="4"/>
      <c r="D283" s="33"/>
      <c r="E283" s="33"/>
      <c r="F283" s="60"/>
      <c r="G283" s="60"/>
      <c r="H283" s="26" t="s">
        <v>20</v>
      </c>
      <c r="I283" s="9"/>
      <c r="J283" s="9"/>
      <c r="K283" s="9"/>
      <c r="L283" s="9"/>
      <c r="M283" s="9"/>
      <c r="N283" s="9"/>
      <c r="Q283" s="58"/>
      <c r="R283" s="58"/>
      <c r="S283" s="58"/>
      <c r="T283" s="58"/>
      <c r="U283" s="58"/>
      <c r="V283" s="58"/>
      <c r="W283" s="208"/>
      <c r="X283" s="58"/>
      <c r="Y283" s="58"/>
      <c r="Z283" s="58"/>
      <c r="AA283" s="58"/>
      <c r="AB283" s="58"/>
      <c r="AC283" s="58"/>
    </row>
    <row r="284" spans="1:29" s="1" customFormat="1" ht="47.25" customHeight="1" x14ac:dyDescent="0.2">
      <c r="A284" s="327"/>
      <c r="B284" s="286"/>
      <c r="C284" s="4"/>
      <c r="D284" s="33"/>
      <c r="E284" s="33"/>
      <c r="F284" s="60"/>
      <c r="G284" s="60"/>
      <c r="H284" s="26" t="s">
        <v>16</v>
      </c>
      <c r="I284" s="9">
        <f>J284</f>
        <v>800.86080000000004</v>
      </c>
      <c r="J284" s="9">
        <v>800.86080000000004</v>
      </c>
      <c r="K284" s="9"/>
      <c r="L284" s="9"/>
      <c r="M284" s="9"/>
      <c r="N284" s="9"/>
      <c r="Q284" s="58"/>
      <c r="R284" s="58"/>
      <c r="S284" s="58"/>
      <c r="T284" s="58"/>
      <c r="U284" s="58"/>
      <c r="V284" s="58"/>
      <c r="W284" s="209"/>
      <c r="X284" s="58"/>
      <c r="Y284" s="58"/>
      <c r="Z284" s="58"/>
      <c r="AA284" s="58"/>
      <c r="AB284" s="58"/>
      <c r="AC284" s="58"/>
    </row>
    <row r="285" spans="1:29" s="1" customFormat="1" x14ac:dyDescent="0.2">
      <c r="A285" s="292" t="s">
        <v>60</v>
      </c>
      <c r="B285" s="237" t="s">
        <v>62</v>
      </c>
      <c r="C285" s="4"/>
      <c r="D285" s="33"/>
      <c r="E285" s="33"/>
      <c r="F285" s="60"/>
      <c r="G285" s="60"/>
      <c r="H285" s="15" t="s">
        <v>19</v>
      </c>
      <c r="I285" s="11">
        <f>I291+I294+I297+I300</f>
        <v>12365.34282</v>
      </c>
      <c r="J285" s="11">
        <f>J287</f>
        <v>2613.88762</v>
      </c>
      <c r="K285" s="22">
        <f t="shared" ref="K285:N285" si="41">K287</f>
        <v>2165.0137999999997</v>
      </c>
      <c r="L285" s="11">
        <f t="shared" si="41"/>
        <v>2528.8137999999999</v>
      </c>
      <c r="M285" s="11">
        <f t="shared" si="41"/>
        <v>2528.8137999999999</v>
      </c>
      <c r="N285" s="11">
        <f t="shared" si="41"/>
        <v>2528.8137999999999</v>
      </c>
      <c r="Q285" s="58"/>
      <c r="R285" s="58"/>
      <c r="S285" s="58"/>
      <c r="T285" s="58"/>
      <c r="U285" s="58"/>
      <c r="V285" s="58"/>
      <c r="W285" s="182"/>
      <c r="X285" s="58"/>
      <c r="Y285" s="58"/>
      <c r="Z285" s="58"/>
      <c r="AA285" s="58"/>
      <c r="AB285" s="58"/>
      <c r="AC285" s="58"/>
    </row>
    <row r="286" spans="1:29" s="1" customFormat="1" x14ac:dyDescent="0.2">
      <c r="A286" s="305"/>
      <c r="B286" s="307"/>
      <c r="C286" s="4"/>
      <c r="D286" s="33"/>
      <c r="E286" s="33"/>
      <c r="F286" s="60"/>
      <c r="G286" s="60"/>
      <c r="H286" s="15" t="s">
        <v>20</v>
      </c>
      <c r="I286" s="11"/>
      <c r="J286" s="11"/>
      <c r="K286" s="22"/>
      <c r="L286" s="11"/>
      <c r="M286" s="11"/>
      <c r="N286" s="11"/>
      <c r="Q286" s="58"/>
      <c r="R286" s="58"/>
      <c r="S286" s="58"/>
      <c r="T286" s="58"/>
      <c r="U286" s="58"/>
      <c r="V286" s="58"/>
      <c r="W286" s="199"/>
      <c r="X286" s="58"/>
      <c r="Y286" s="58"/>
      <c r="Z286" s="58"/>
      <c r="AA286" s="58"/>
      <c r="AB286" s="58"/>
      <c r="AC286" s="58"/>
    </row>
    <row r="287" spans="1:29" s="1" customFormat="1" x14ac:dyDescent="0.2">
      <c r="A287" s="306"/>
      <c r="B287" s="308"/>
      <c r="C287" s="4"/>
      <c r="D287" s="33"/>
      <c r="E287" s="33"/>
      <c r="F287" s="60"/>
      <c r="G287" s="60"/>
      <c r="H287" s="15" t="s">
        <v>16</v>
      </c>
      <c r="I287" s="11">
        <f>I293+I296+I299+I302</f>
        <v>12365.34282</v>
      </c>
      <c r="J287" s="11">
        <f>J293+J296+J299+J302</f>
        <v>2613.88762</v>
      </c>
      <c r="K287" s="11">
        <f t="shared" ref="K287:N287" si="42">K293+K296+K299</f>
        <v>2165.0137999999997</v>
      </c>
      <c r="L287" s="11">
        <f t="shared" si="42"/>
        <v>2528.8137999999999</v>
      </c>
      <c r="M287" s="11">
        <f t="shared" si="42"/>
        <v>2528.8137999999999</v>
      </c>
      <c r="N287" s="11">
        <f t="shared" si="42"/>
        <v>2528.8137999999999</v>
      </c>
      <c r="Q287" s="58"/>
      <c r="R287" s="58"/>
      <c r="S287" s="58"/>
      <c r="T287" s="58"/>
      <c r="U287" s="58"/>
      <c r="V287" s="58"/>
      <c r="W287" s="199"/>
      <c r="X287" s="58"/>
      <c r="Y287" s="58"/>
      <c r="Z287" s="58"/>
      <c r="AA287" s="58"/>
      <c r="AB287" s="58"/>
      <c r="AC287" s="58"/>
    </row>
    <row r="288" spans="1:29" s="1" customFormat="1" ht="0.75" customHeight="1" x14ac:dyDescent="0.2">
      <c r="A288" s="120" t="s">
        <v>120</v>
      </c>
      <c r="B288" s="284" t="s">
        <v>121</v>
      </c>
      <c r="C288" s="4"/>
      <c r="D288" s="33"/>
      <c r="E288" s="33"/>
      <c r="F288" s="60"/>
      <c r="G288" s="60"/>
      <c r="H288" s="26" t="s">
        <v>19</v>
      </c>
      <c r="I288" s="50"/>
      <c r="J288" s="50"/>
      <c r="K288" s="21"/>
      <c r="L288" s="25"/>
      <c r="M288" s="25"/>
      <c r="N288" s="25"/>
      <c r="Q288" s="58"/>
      <c r="R288" s="58"/>
      <c r="S288" s="58"/>
      <c r="T288" s="58"/>
      <c r="U288" s="58"/>
      <c r="V288" s="58"/>
      <c r="W288" s="311" t="s">
        <v>26</v>
      </c>
      <c r="X288" s="58"/>
      <c r="Y288" s="58"/>
      <c r="Z288" s="58"/>
      <c r="AA288" s="58"/>
      <c r="AB288" s="58"/>
      <c r="AC288" s="58"/>
    </row>
    <row r="289" spans="1:29" s="1" customFormat="1" ht="15" hidden="1" customHeight="1" x14ac:dyDescent="0.2">
      <c r="A289" s="120"/>
      <c r="B289" s="285"/>
      <c r="C289" s="4"/>
      <c r="D289" s="33"/>
      <c r="E289" s="33"/>
      <c r="F289" s="60"/>
      <c r="G289" s="60"/>
      <c r="H289" s="26" t="s">
        <v>20</v>
      </c>
      <c r="I289" s="50"/>
      <c r="J289" s="50"/>
      <c r="K289" s="21"/>
      <c r="L289" s="25"/>
      <c r="M289" s="25"/>
      <c r="N289" s="25"/>
      <c r="Q289" s="58"/>
      <c r="R289" s="58"/>
      <c r="S289" s="58"/>
      <c r="T289" s="58"/>
      <c r="U289" s="58"/>
      <c r="V289" s="58"/>
      <c r="W289" s="312"/>
      <c r="X289" s="58"/>
      <c r="Y289" s="58"/>
      <c r="Z289" s="58"/>
      <c r="AA289" s="58"/>
      <c r="AB289" s="58"/>
      <c r="AC289" s="58"/>
    </row>
    <row r="290" spans="1:29" s="1" customFormat="1" ht="36.75" hidden="1" customHeight="1" x14ac:dyDescent="0.2">
      <c r="A290" s="120"/>
      <c r="B290" s="286"/>
      <c r="C290" s="4"/>
      <c r="D290" s="33"/>
      <c r="E290" s="33"/>
      <c r="F290" s="60"/>
      <c r="G290" s="60"/>
      <c r="H290" s="26" t="s">
        <v>16</v>
      </c>
      <c r="I290" s="50"/>
      <c r="J290" s="50"/>
      <c r="K290" s="21"/>
      <c r="L290" s="25"/>
      <c r="M290" s="25"/>
      <c r="N290" s="25"/>
      <c r="Q290" s="58"/>
      <c r="R290" s="58"/>
      <c r="S290" s="58"/>
      <c r="T290" s="58"/>
      <c r="U290" s="58"/>
      <c r="V290" s="58"/>
      <c r="W290" s="312"/>
      <c r="X290" s="58"/>
      <c r="Y290" s="58"/>
      <c r="Z290" s="58"/>
      <c r="AA290" s="58"/>
      <c r="AB290" s="58"/>
      <c r="AC290" s="58"/>
    </row>
    <row r="291" spans="1:29" s="1" customFormat="1" ht="36.75" customHeight="1" x14ac:dyDescent="0.2">
      <c r="A291" s="268" t="s">
        <v>61</v>
      </c>
      <c r="B291" s="284" t="s">
        <v>150</v>
      </c>
      <c r="C291" s="4"/>
      <c r="D291" s="33"/>
      <c r="E291" s="33"/>
      <c r="F291" s="60"/>
      <c r="G291" s="60"/>
      <c r="H291" s="26" t="s">
        <v>19</v>
      </c>
      <c r="I291" s="9">
        <f>J291+K291+L291+M291+N291</f>
        <v>4063.5480299999999</v>
      </c>
      <c r="J291" s="25">
        <f>J293</f>
        <v>770.29282999999998</v>
      </c>
      <c r="K291" s="25">
        <f t="shared" ref="K291:N291" si="43">K293</f>
        <v>823.31380000000001</v>
      </c>
      <c r="L291" s="25">
        <f t="shared" si="43"/>
        <v>823.31380000000001</v>
      </c>
      <c r="M291" s="25">
        <f t="shared" si="43"/>
        <v>823.31380000000001</v>
      </c>
      <c r="N291" s="25">
        <f t="shared" si="43"/>
        <v>823.31380000000001</v>
      </c>
      <c r="Q291" s="58"/>
      <c r="R291" s="58"/>
      <c r="S291" s="58"/>
      <c r="T291" s="58"/>
      <c r="U291" s="58"/>
      <c r="V291" s="58"/>
      <c r="W291" s="312"/>
      <c r="X291" s="58"/>
      <c r="Y291" s="58"/>
      <c r="Z291" s="58"/>
      <c r="AA291" s="58"/>
      <c r="AB291" s="58"/>
      <c r="AC291" s="58"/>
    </row>
    <row r="292" spans="1:29" s="1" customFormat="1" ht="36.75" customHeight="1" x14ac:dyDescent="0.2">
      <c r="A292" s="269"/>
      <c r="B292" s="285"/>
      <c r="C292" s="4"/>
      <c r="D292" s="33"/>
      <c r="E292" s="33"/>
      <c r="F292" s="60"/>
      <c r="G292" s="60"/>
      <c r="H292" s="26" t="s">
        <v>20</v>
      </c>
      <c r="I292" s="25"/>
      <c r="J292" s="25"/>
      <c r="K292" s="25"/>
      <c r="L292" s="25"/>
      <c r="M292" s="25"/>
      <c r="N292" s="25"/>
      <c r="Q292" s="58"/>
      <c r="R292" s="58"/>
      <c r="S292" s="58"/>
      <c r="T292" s="58"/>
      <c r="U292" s="58"/>
      <c r="V292" s="58"/>
      <c r="W292" s="312"/>
      <c r="X292" s="58"/>
      <c r="Y292" s="58"/>
      <c r="Z292" s="58"/>
      <c r="AA292" s="58"/>
      <c r="AB292" s="58"/>
      <c r="AC292" s="58"/>
    </row>
    <row r="293" spans="1:29" s="1" customFormat="1" ht="36.75" customHeight="1" x14ac:dyDescent="0.2">
      <c r="A293" s="270"/>
      <c r="B293" s="286"/>
      <c r="C293" s="4"/>
      <c r="D293" s="33"/>
      <c r="E293" s="33"/>
      <c r="F293" s="60"/>
      <c r="G293" s="60"/>
      <c r="H293" s="26" t="s">
        <v>16</v>
      </c>
      <c r="I293" s="9">
        <f>J293+K293+L293+M293+N293</f>
        <v>4063.5480299999999</v>
      </c>
      <c r="J293" s="25">
        <v>770.29282999999998</v>
      </c>
      <c r="K293" s="25">
        <f t="shared" ref="K293:N293" si="44">892.6-69.2862</f>
        <v>823.31380000000001</v>
      </c>
      <c r="L293" s="25">
        <f t="shared" si="44"/>
        <v>823.31380000000001</v>
      </c>
      <c r="M293" s="25">
        <f t="shared" si="44"/>
        <v>823.31380000000001</v>
      </c>
      <c r="N293" s="25">
        <f t="shared" si="44"/>
        <v>823.31380000000001</v>
      </c>
      <c r="Q293" s="58"/>
      <c r="R293" s="58"/>
      <c r="S293" s="58"/>
      <c r="T293" s="58"/>
      <c r="U293" s="58"/>
      <c r="V293" s="58"/>
      <c r="W293" s="312"/>
      <c r="X293" s="58"/>
      <c r="Y293" s="58"/>
      <c r="Z293" s="58"/>
      <c r="AA293" s="58"/>
      <c r="AB293" s="58"/>
      <c r="AC293" s="58"/>
    </row>
    <row r="294" spans="1:29" s="1" customFormat="1" ht="27.75" customHeight="1" x14ac:dyDescent="0.2">
      <c r="A294" s="268" t="s">
        <v>120</v>
      </c>
      <c r="B294" s="295" t="s">
        <v>157</v>
      </c>
      <c r="C294" s="49"/>
      <c r="D294" s="6"/>
      <c r="E294" s="6"/>
      <c r="F294" s="8"/>
      <c r="G294" s="8"/>
      <c r="H294" s="26" t="s">
        <v>19</v>
      </c>
      <c r="I294" s="9">
        <f>J294+K294+L294+M294+N294</f>
        <v>4011.3999999999996</v>
      </c>
      <c r="J294" s="25"/>
      <c r="K294" s="25">
        <f t="shared" ref="K294:N294" si="45">K296</f>
        <v>730</v>
      </c>
      <c r="L294" s="25">
        <f t="shared" si="45"/>
        <v>1093.8</v>
      </c>
      <c r="M294" s="25">
        <f t="shared" si="45"/>
        <v>1093.8</v>
      </c>
      <c r="N294" s="25">
        <f t="shared" si="45"/>
        <v>1093.8</v>
      </c>
      <c r="Q294" s="58"/>
      <c r="R294" s="58"/>
      <c r="S294" s="58"/>
      <c r="T294" s="58"/>
      <c r="U294" s="58"/>
      <c r="V294" s="58"/>
      <c r="W294" s="312"/>
      <c r="X294" s="58"/>
      <c r="Y294" s="58"/>
      <c r="Z294" s="58"/>
      <c r="AA294" s="58"/>
      <c r="AB294" s="58"/>
      <c r="AC294" s="58"/>
    </row>
    <row r="295" spans="1:29" s="1" customFormat="1" ht="27.75" customHeight="1" x14ac:dyDescent="0.2">
      <c r="A295" s="269"/>
      <c r="B295" s="296"/>
      <c r="C295" s="49"/>
      <c r="D295" s="6"/>
      <c r="E295" s="6"/>
      <c r="F295" s="8"/>
      <c r="G295" s="8"/>
      <c r="H295" s="26" t="s">
        <v>20</v>
      </c>
      <c r="I295" s="25"/>
      <c r="J295" s="25"/>
      <c r="K295" s="25"/>
      <c r="L295" s="25"/>
      <c r="M295" s="25"/>
      <c r="N295" s="25"/>
      <c r="Q295" s="58"/>
      <c r="R295" s="58"/>
      <c r="S295" s="58"/>
      <c r="T295" s="58"/>
      <c r="U295" s="58"/>
      <c r="V295" s="58"/>
      <c r="W295" s="312"/>
      <c r="X295" s="58"/>
      <c r="Y295" s="58"/>
      <c r="Z295" s="58"/>
      <c r="AA295" s="58"/>
      <c r="AB295" s="58"/>
      <c r="AC295" s="58"/>
    </row>
    <row r="296" spans="1:29" s="1" customFormat="1" ht="31.5" customHeight="1" x14ac:dyDescent="0.2">
      <c r="A296" s="270"/>
      <c r="B296" s="297"/>
      <c r="C296" s="49"/>
      <c r="D296" s="6"/>
      <c r="E296" s="6"/>
      <c r="F296" s="8"/>
      <c r="G296" s="8"/>
      <c r="H296" s="26" t="s">
        <v>16</v>
      </c>
      <c r="I296" s="9">
        <f>J296+K296+L296+M296+N296</f>
        <v>4011.3999999999996</v>
      </c>
      <c r="J296" s="25"/>
      <c r="K296" s="25">
        <v>730</v>
      </c>
      <c r="L296" s="25">
        <f t="shared" ref="L296:N296" si="46">1172.8-79</f>
        <v>1093.8</v>
      </c>
      <c r="M296" s="25">
        <f t="shared" si="46"/>
        <v>1093.8</v>
      </c>
      <c r="N296" s="25">
        <f t="shared" si="46"/>
        <v>1093.8</v>
      </c>
      <c r="Q296" s="58"/>
      <c r="R296" s="58"/>
      <c r="S296" s="58"/>
      <c r="T296" s="58"/>
      <c r="U296" s="58"/>
      <c r="V296" s="58"/>
      <c r="W296" s="312"/>
      <c r="X296" s="58"/>
      <c r="Y296" s="58"/>
      <c r="Z296" s="58"/>
      <c r="AA296" s="58"/>
      <c r="AB296" s="58"/>
      <c r="AC296" s="58"/>
    </row>
    <row r="297" spans="1:29" s="1" customFormat="1" ht="19.5" customHeight="1" x14ac:dyDescent="0.2">
      <c r="A297" s="325" t="s">
        <v>149</v>
      </c>
      <c r="B297" s="284" t="s">
        <v>103</v>
      </c>
      <c r="C297" s="4"/>
      <c r="D297" s="33"/>
      <c r="E297" s="33"/>
      <c r="F297" s="60"/>
      <c r="G297" s="60"/>
      <c r="H297" s="26" t="s">
        <v>19</v>
      </c>
      <c r="I297" s="25">
        <f>J297+K297+L297+M297+N297</f>
        <v>3120.6995900000002</v>
      </c>
      <c r="J297" s="25">
        <f>J299</f>
        <v>673.89958999999999</v>
      </c>
      <c r="K297" s="25">
        <f t="shared" ref="K297:N297" si="47">K299</f>
        <v>611.70000000000005</v>
      </c>
      <c r="L297" s="25">
        <f t="shared" si="47"/>
        <v>611.70000000000005</v>
      </c>
      <c r="M297" s="25">
        <f t="shared" si="47"/>
        <v>611.70000000000005</v>
      </c>
      <c r="N297" s="25">
        <f t="shared" si="47"/>
        <v>611.70000000000005</v>
      </c>
      <c r="Q297" s="58"/>
      <c r="R297" s="58"/>
      <c r="S297" s="58"/>
      <c r="T297" s="58"/>
      <c r="U297" s="58"/>
      <c r="V297" s="58"/>
      <c r="W297" s="312"/>
      <c r="X297" s="58"/>
      <c r="Y297" s="58"/>
      <c r="Z297" s="58"/>
      <c r="AA297" s="58"/>
      <c r="AB297" s="58"/>
      <c r="AC297" s="58"/>
    </row>
    <row r="298" spans="1:29" s="1" customFormat="1" ht="35.25" customHeight="1" x14ac:dyDescent="0.2">
      <c r="A298" s="326"/>
      <c r="B298" s="285"/>
      <c r="C298" s="4"/>
      <c r="D298" s="33"/>
      <c r="E298" s="33"/>
      <c r="F298" s="60"/>
      <c r="G298" s="60"/>
      <c r="H298" s="26" t="s">
        <v>20</v>
      </c>
      <c r="I298" s="25"/>
      <c r="J298" s="25"/>
      <c r="K298" s="25"/>
      <c r="L298" s="25"/>
      <c r="M298" s="25"/>
      <c r="N298" s="25"/>
      <c r="Q298" s="58"/>
      <c r="R298" s="58"/>
      <c r="S298" s="58"/>
      <c r="T298" s="58"/>
      <c r="U298" s="58"/>
      <c r="V298" s="58"/>
      <c r="W298" s="312"/>
      <c r="X298" s="58"/>
      <c r="Y298" s="58"/>
      <c r="Z298" s="58"/>
      <c r="AA298" s="58"/>
      <c r="AB298" s="58"/>
      <c r="AC298" s="58"/>
    </row>
    <row r="299" spans="1:29" s="1" customFormat="1" ht="28.5" customHeight="1" x14ac:dyDescent="0.2">
      <c r="A299" s="327"/>
      <c r="B299" s="286"/>
      <c r="C299" s="4"/>
      <c r="D299" s="33"/>
      <c r="E299" s="33"/>
      <c r="F299" s="60"/>
      <c r="G299" s="60"/>
      <c r="H299" s="26" t="s">
        <v>16</v>
      </c>
      <c r="I299" s="25">
        <f>J299+K299+L299+M299+N299</f>
        <v>3120.6995900000002</v>
      </c>
      <c r="J299" s="25">
        <f>501.15919+172.7404</f>
        <v>673.89958999999999</v>
      </c>
      <c r="K299" s="25">
        <f t="shared" ref="K299:N299" si="48">680.7-69</f>
        <v>611.70000000000005</v>
      </c>
      <c r="L299" s="25">
        <f t="shared" si="48"/>
        <v>611.70000000000005</v>
      </c>
      <c r="M299" s="25">
        <f t="shared" si="48"/>
        <v>611.70000000000005</v>
      </c>
      <c r="N299" s="25">
        <f t="shared" si="48"/>
        <v>611.70000000000005</v>
      </c>
      <c r="Q299" s="58"/>
      <c r="R299" s="58"/>
      <c r="S299" s="58"/>
      <c r="T299" s="58"/>
      <c r="U299" s="58"/>
      <c r="V299" s="58"/>
      <c r="W299" s="312"/>
      <c r="X299" s="58"/>
      <c r="Y299" s="58"/>
      <c r="Z299" s="58"/>
      <c r="AA299" s="58"/>
      <c r="AB299" s="58"/>
      <c r="AC299" s="58"/>
    </row>
    <row r="300" spans="1:29" s="1" customFormat="1" ht="28.5" customHeight="1" x14ac:dyDescent="0.2">
      <c r="A300" s="325" t="s">
        <v>269</v>
      </c>
      <c r="B300" s="284" t="s">
        <v>270</v>
      </c>
      <c r="C300" s="4"/>
      <c r="D300" s="33"/>
      <c r="E300" s="33"/>
      <c r="F300" s="60"/>
      <c r="G300" s="60"/>
      <c r="H300" s="26" t="s">
        <v>19</v>
      </c>
      <c r="I300" s="25">
        <f>I302</f>
        <v>1169.6952000000001</v>
      </c>
      <c r="J300" s="25">
        <f>J302</f>
        <v>1169.6952000000001</v>
      </c>
      <c r="K300" s="25"/>
      <c r="L300" s="25"/>
      <c r="M300" s="25"/>
      <c r="N300" s="25"/>
      <c r="Q300" s="58"/>
      <c r="R300" s="58"/>
      <c r="S300" s="58"/>
      <c r="T300" s="58"/>
      <c r="U300" s="58"/>
      <c r="V300" s="58"/>
      <c r="W300" s="196"/>
      <c r="X300" s="58"/>
      <c r="Y300" s="58"/>
      <c r="Z300" s="58"/>
      <c r="AA300" s="58"/>
      <c r="AB300" s="58"/>
      <c r="AC300" s="58"/>
    </row>
    <row r="301" spans="1:29" s="1" customFormat="1" ht="28.5" customHeight="1" x14ac:dyDescent="0.2">
      <c r="A301" s="326"/>
      <c r="B301" s="285"/>
      <c r="C301" s="4"/>
      <c r="D301" s="33"/>
      <c r="E301" s="33"/>
      <c r="F301" s="60"/>
      <c r="G301" s="60"/>
      <c r="H301" s="26" t="s">
        <v>20</v>
      </c>
      <c r="I301" s="25"/>
      <c r="J301" s="25"/>
      <c r="K301" s="25"/>
      <c r="L301" s="25"/>
      <c r="M301" s="25"/>
      <c r="N301" s="25"/>
      <c r="Q301" s="58"/>
      <c r="R301" s="58"/>
      <c r="S301" s="58"/>
      <c r="T301" s="58"/>
      <c r="U301" s="58"/>
      <c r="V301" s="58"/>
      <c r="W301" s="196"/>
      <c r="X301" s="58"/>
      <c r="Y301" s="58"/>
      <c r="Z301" s="58"/>
      <c r="AA301" s="58"/>
      <c r="AB301" s="58"/>
      <c r="AC301" s="58"/>
    </row>
    <row r="302" spans="1:29" s="1" customFormat="1" ht="36.75" customHeight="1" x14ac:dyDescent="0.2">
      <c r="A302" s="327"/>
      <c r="B302" s="286"/>
      <c r="C302" s="4"/>
      <c r="D302" s="33"/>
      <c r="E302" s="33"/>
      <c r="F302" s="60"/>
      <c r="G302" s="60"/>
      <c r="H302" s="26" t="s">
        <v>16</v>
      </c>
      <c r="I302" s="25">
        <f>J302</f>
        <v>1169.6952000000001</v>
      </c>
      <c r="J302" s="25">
        <v>1169.6952000000001</v>
      </c>
      <c r="K302" s="25"/>
      <c r="L302" s="25"/>
      <c r="M302" s="25"/>
      <c r="N302" s="25"/>
      <c r="Q302" s="58"/>
      <c r="R302" s="58"/>
      <c r="S302" s="58"/>
      <c r="T302" s="58"/>
      <c r="U302" s="58"/>
      <c r="V302" s="58"/>
      <c r="W302" s="217"/>
      <c r="X302" s="58"/>
      <c r="Y302" s="58"/>
      <c r="Z302" s="58"/>
      <c r="AA302" s="58"/>
      <c r="AB302" s="58"/>
      <c r="AC302" s="58"/>
    </row>
    <row r="303" spans="1:29" s="1" customFormat="1" ht="24" customHeight="1" x14ac:dyDescent="0.2">
      <c r="A303" s="292" t="s">
        <v>63</v>
      </c>
      <c r="B303" s="237" t="s">
        <v>64</v>
      </c>
      <c r="C303" s="4"/>
      <c r="D303" s="33"/>
      <c r="E303" s="33"/>
      <c r="F303" s="60"/>
      <c r="G303" s="60"/>
      <c r="H303" s="15" t="s">
        <v>19</v>
      </c>
      <c r="I303" s="11">
        <f>I306+I312+I315+I309</f>
        <v>21628.34203</v>
      </c>
      <c r="J303" s="11">
        <f>J305</f>
        <v>6424.3868299999995</v>
      </c>
      <c r="K303" s="11">
        <f t="shared" ref="K303:N303" si="49">K305</f>
        <v>3668.3137999999999</v>
      </c>
      <c r="L303" s="11">
        <f t="shared" si="49"/>
        <v>3845.2137999999995</v>
      </c>
      <c r="M303" s="11">
        <f t="shared" si="49"/>
        <v>3845.2137999999995</v>
      </c>
      <c r="N303" s="11">
        <f t="shared" si="49"/>
        <v>3845.2137999999995</v>
      </c>
      <c r="O303" s="10"/>
      <c r="P303" s="10"/>
      <c r="Q303" s="33"/>
      <c r="R303" s="33"/>
      <c r="S303" s="33"/>
      <c r="T303" s="33"/>
      <c r="U303" s="33"/>
      <c r="V303" s="33"/>
      <c r="W303" s="182"/>
      <c r="X303" s="58"/>
      <c r="Y303" s="58"/>
      <c r="Z303" s="58"/>
      <c r="AA303" s="58"/>
      <c r="AB303" s="58"/>
      <c r="AC303" s="58"/>
    </row>
    <row r="304" spans="1:29" s="1" customFormat="1" ht="22.5" customHeight="1" x14ac:dyDescent="0.2">
      <c r="A304" s="305"/>
      <c r="B304" s="307"/>
      <c r="C304" s="4"/>
      <c r="D304" s="33"/>
      <c r="E304" s="33"/>
      <c r="F304" s="60"/>
      <c r="G304" s="60"/>
      <c r="H304" s="15" t="s">
        <v>20</v>
      </c>
      <c r="I304" s="11"/>
      <c r="J304" s="11"/>
      <c r="K304" s="11"/>
      <c r="L304" s="11"/>
      <c r="M304" s="11"/>
      <c r="N304" s="11"/>
      <c r="O304" s="10"/>
      <c r="P304" s="10"/>
      <c r="Q304" s="33"/>
      <c r="R304" s="33"/>
      <c r="S304" s="33"/>
      <c r="T304" s="33"/>
      <c r="U304" s="33"/>
      <c r="V304" s="33"/>
      <c r="W304" s="199"/>
      <c r="X304" s="58"/>
      <c r="Y304" s="58"/>
      <c r="Z304" s="58"/>
      <c r="AA304" s="58"/>
      <c r="AB304" s="58"/>
      <c r="AC304" s="58"/>
    </row>
    <row r="305" spans="1:29" s="1" customFormat="1" ht="29.25" customHeight="1" x14ac:dyDescent="0.2">
      <c r="A305" s="306"/>
      <c r="B305" s="308"/>
      <c r="C305" s="4"/>
      <c r="D305" s="33"/>
      <c r="E305" s="33"/>
      <c r="F305" s="60"/>
      <c r="G305" s="60"/>
      <c r="H305" s="15" t="s">
        <v>16</v>
      </c>
      <c r="I305" s="11">
        <f>I308+I314+I317+I311</f>
        <v>21628.34203</v>
      </c>
      <c r="J305" s="11">
        <f>J308+J314+J317+J311</f>
        <v>6424.3868299999995</v>
      </c>
      <c r="K305" s="11">
        <f t="shared" ref="K305:N305" si="50">K308+K314+K317</f>
        <v>3668.3137999999999</v>
      </c>
      <c r="L305" s="11">
        <f t="shared" si="50"/>
        <v>3845.2137999999995</v>
      </c>
      <c r="M305" s="11">
        <f t="shared" si="50"/>
        <v>3845.2137999999995</v>
      </c>
      <c r="N305" s="11">
        <f t="shared" si="50"/>
        <v>3845.2137999999995</v>
      </c>
      <c r="O305" s="10"/>
      <c r="P305" s="10"/>
      <c r="Q305" s="33"/>
      <c r="R305" s="33"/>
      <c r="S305" s="33"/>
      <c r="T305" s="33"/>
      <c r="U305" s="33"/>
      <c r="V305" s="33"/>
      <c r="W305" s="199"/>
      <c r="X305" s="58"/>
      <c r="Y305" s="58"/>
      <c r="Z305" s="58"/>
      <c r="AA305" s="58"/>
      <c r="AB305" s="58"/>
      <c r="AC305" s="58"/>
    </row>
    <row r="306" spans="1:29" s="1" customFormat="1" ht="39.75" customHeight="1" x14ac:dyDescent="0.2">
      <c r="A306" s="325" t="s">
        <v>65</v>
      </c>
      <c r="B306" s="329" t="s">
        <v>145</v>
      </c>
      <c r="C306" s="4"/>
      <c r="D306" s="33"/>
      <c r="E306" s="33"/>
      <c r="F306" s="60"/>
      <c r="G306" s="60"/>
      <c r="H306" s="26" t="s">
        <v>19</v>
      </c>
      <c r="I306" s="25">
        <f>J306+K306+L306+M306+N306</f>
        <v>7371.2255299999988</v>
      </c>
      <c r="J306" s="9">
        <f>J308</f>
        <v>2625.1703299999999</v>
      </c>
      <c r="K306" s="9">
        <f t="shared" ref="K306:N306" si="51">K308</f>
        <v>1186.5137999999999</v>
      </c>
      <c r="L306" s="9">
        <f t="shared" si="51"/>
        <v>1186.5137999999999</v>
      </c>
      <c r="M306" s="9">
        <f t="shared" si="51"/>
        <v>1186.5137999999999</v>
      </c>
      <c r="N306" s="9">
        <f t="shared" si="51"/>
        <v>1186.5137999999999</v>
      </c>
      <c r="O306" s="10"/>
      <c r="P306" s="10"/>
      <c r="Q306" s="33"/>
      <c r="R306" s="33"/>
      <c r="S306" s="33"/>
      <c r="T306" s="33"/>
      <c r="U306" s="33"/>
      <c r="V306" s="33"/>
      <c r="W306" s="252" t="s">
        <v>26</v>
      </c>
      <c r="X306" s="58"/>
      <c r="Y306" s="58"/>
      <c r="Z306" s="58"/>
      <c r="AA306" s="58"/>
      <c r="AB306" s="58"/>
      <c r="AC306" s="58"/>
    </row>
    <row r="307" spans="1:29" s="1" customFormat="1" ht="24.75" customHeight="1" x14ac:dyDescent="0.2">
      <c r="A307" s="326"/>
      <c r="B307" s="330"/>
      <c r="C307" s="4"/>
      <c r="D307" s="33"/>
      <c r="E307" s="33"/>
      <c r="F307" s="60"/>
      <c r="G307" s="60"/>
      <c r="H307" s="26" t="s">
        <v>20</v>
      </c>
      <c r="I307" s="9"/>
      <c r="J307" s="9"/>
      <c r="K307" s="9"/>
      <c r="L307" s="9"/>
      <c r="M307" s="9"/>
      <c r="N307" s="9"/>
      <c r="O307" s="10"/>
      <c r="P307" s="10"/>
      <c r="Q307" s="33"/>
      <c r="R307" s="33"/>
      <c r="S307" s="33"/>
      <c r="T307" s="33"/>
      <c r="U307" s="33"/>
      <c r="V307" s="33"/>
      <c r="W307" s="208"/>
      <c r="X307" s="58"/>
      <c r="Y307" s="58"/>
      <c r="Z307" s="58"/>
      <c r="AA307" s="58"/>
      <c r="AB307" s="58"/>
      <c r="AC307" s="58"/>
    </row>
    <row r="308" spans="1:29" s="1" customFormat="1" ht="40.5" customHeight="1" x14ac:dyDescent="0.2">
      <c r="A308" s="327"/>
      <c r="B308" s="331"/>
      <c r="C308" s="4"/>
      <c r="D308" s="33"/>
      <c r="E308" s="33"/>
      <c r="F308" s="60"/>
      <c r="G308" s="60"/>
      <c r="H308" s="26" t="s">
        <v>16</v>
      </c>
      <c r="I308" s="25">
        <f>J308+K308+L308+M308+N308</f>
        <v>7371.2255299999988</v>
      </c>
      <c r="J308" s="9">
        <v>2625.1703299999999</v>
      </c>
      <c r="K308" s="9">
        <f t="shared" ref="K308:N308" si="52">1255.8-69.2862</f>
        <v>1186.5137999999999</v>
      </c>
      <c r="L308" s="9">
        <f t="shared" si="52"/>
        <v>1186.5137999999999</v>
      </c>
      <c r="M308" s="9">
        <f t="shared" si="52"/>
        <v>1186.5137999999999</v>
      </c>
      <c r="N308" s="9">
        <f t="shared" si="52"/>
        <v>1186.5137999999999</v>
      </c>
      <c r="O308" s="10"/>
      <c r="P308" s="10"/>
      <c r="Q308" s="33"/>
      <c r="R308" s="33"/>
      <c r="S308" s="33"/>
      <c r="T308" s="33"/>
      <c r="U308" s="33"/>
      <c r="V308" s="33"/>
      <c r="W308" s="209"/>
      <c r="X308" s="58"/>
      <c r="Y308" s="58"/>
      <c r="Z308" s="58"/>
      <c r="AA308" s="58"/>
      <c r="AB308" s="58"/>
      <c r="AC308" s="58"/>
    </row>
    <row r="309" spans="1:29" s="1" customFormat="1" ht="26.25" customHeight="1" x14ac:dyDescent="0.2">
      <c r="A309" s="141"/>
      <c r="B309" s="332" t="s">
        <v>322</v>
      </c>
      <c r="C309" s="80"/>
      <c r="D309" s="81"/>
      <c r="E309" s="81"/>
      <c r="F309" s="82"/>
      <c r="G309" s="82"/>
      <c r="H309" s="75" t="s">
        <v>19</v>
      </c>
      <c r="I309" s="142">
        <f>J309</f>
        <v>704.41125999999997</v>
      </c>
      <c r="J309" s="44">
        <f>J311</f>
        <v>704.41125999999997</v>
      </c>
      <c r="K309" s="44"/>
      <c r="L309" s="44"/>
      <c r="M309" s="44"/>
      <c r="N309" s="44"/>
      <c r="O309" s="10"/>
      <c r="P309" s="10"/>
      <c r="Q309" s="33"/>
      <c r="R309" s="33"/>
      <c r="S309" s="33"/>
      <c r="T309" s="33"/>
      <c r="U309" s="33"/>
      <c r="V309" s="33"/>
      <c r="W309" s="252" t="s">
        <v>26</v>
      </c>
      <c r="X309" s="58"/>
      <c r="Y309" s="58"/>
      <c r="Z309" s="58"/>
      <c r="AA309" s="58"/>
      <c r="AB309" s="58"/>
      <c r="AC309" s="58"/>
    </row>
    <row r="310" spans="1:29" s="1" customFormat="1" ht="29.25" customHeight="1" x14ac:dyDescent="0.2">
      <c r="A310" s="143" t="s">
        <v>66</v>
      </c>
      <c r="B310" s="333"/>
      <c r="C310" s="80"/>
      <c r="D310" s="81"/>
      <c r="E310" s="81"/>
      <c r="F310" s="82"/>
      <c r="G310" s="82"/>
      <c r="H310" s="75" t="s">
        <v>20</v>
      </c>
      <c r="I310" s="142"/>
      <c r="J310" s="44"/>
      <c r="K310" s="44"/>
      <c r="L310" s="44"/>
      <c r="M310" s="44"/>
      <c r="N310" s="44"/>
      <c r="O310" s="10"/>
      <c r="P310" s="10"/>
      <c r="Q310" s="33"/>
      <c r="R310" s="33"/>
      <c r="S310" s="33"/>
      <c r="T310" s="33"/>
      <c r="U310" s="33"/>
      <c r="V310" s="33"/>
      <c r="W310" s="208"/>
      <c r="X310" s="58"/>
      <c r="Y310" s="58"/>
      <c r="Z310" s="58"/>
      <c r="AA310" s="58"/>
      <c r="AB310" s="58"/>
      <c r="AC310" s="58"/>
    </row>
    <row r="311" spans="1:29" s="1" customFormat="1" ht="40.5" customHeight="1" x14ac:dyDescent="0.2">
      <c r="A311" s="144"/>
      <c r="B311" s="334"/>
      <c r="C311" s="80"/>
      <c r="D311" s="81"/>
      <c r="E311" s="81"/>
      <c r="F311" s="82"/>
      <c r="G311" s="82"/>
      <c r="H311" s="75" t="s">
        <v>16</v>
      </c>
      <c r="I311" s="142">
        <f>J311</f>
        <v>704.41125999999997</v>
      </c>
      <c r="J311" s="44">
        <v>704.41125999999997</v>
      </c>
      <c r="K311" s="44"/>
      <c r="L311" s="44"/>
      <c r="M311" s="44"/>
      <c r="N311" s="44"/>
      <c r="O311" s="10"/>
      <c r="P311" s="10"/>
      <c r="Q311" s="33"/>
      <c r="R311" s="33"/>
      <c r="S311" s="33"/>
      <c r="T311" s="33"/>
      <c r="U311" s="33"/>
      <c r="V311" s="33"/>
      <c r="W311" s="209"/>
      <c r="X311" s="58"/>
      <c r="Y311" s="58"/>
      <c r="Z311" s="58"/>
      <c r="AA311" s="58"/>
      <c r="AB311" s="58"/>
      <c r="AC311" s="58"/>
    </row>
    <row r="312" spans="1:29" s="1" customFormat="1" ht="23.25" customHeight="1" x14ac:dyDescent="0.2">
      <c r="A312" s="120"/>
      <c r="B312" s="284" t="s">
        <v>155</v>
      </c>
      <c r="C312" s="4"/>
      <c r="D312" s="33"/>
      <c r="E312" s="33"/>
      <c r="F312" s="60"/>
      <c r="G312" s="60"/>
      <c r="H312" s="26" t="s">
        <v>19</v>
      </c>
      <c r="I312" s="9">
        <f>J312+K312+L312+M312+N312</f>
        <v>4919.0995999999996</v>
      </c>
      <c r="J312" s="9">
        <f>J314</f>
        <v>1488.3996</v>
      </c>
      <c r="K312" s="9">
        <f t="shared" ref="K312:N312" si="53">K314</f>
        <v>725</v>
      </c>
      <c r="L312" s="9">
        <f t="shared" si="53"/>
        <v>901.9</v>
      </c>
      <c r="M312" s="9">
        <f t="shared" si="53"/>
        <v>901.9</v>
      </c>
      <c r="N312" s="9">
        <f t="shared" si="53"/>
        <v>901.9</v>
      </c>
      <c r="O312" s="10"/>
      <c r="P312" s="10"/>
      <c r="Q312" s="33"/>
      <c r="R312" s="33"/>
      <c r="S312" s="33"/>
      <c r="T312" s="33"/>
      <c r="U312" s="33"/>
      <c r="V312" s="33"/>
      <c r="W312" s="252" t="s">
        <v>26</v>
      </c>
      <c r="X312" s="58"/>
      <c r="Y312" s="58"/>
      <c r="Z312" s="58"/>
      <c r="AA312" s="58"/>
      <c r="AB312" s="58"/>
      <c r="AC312" s="58"/>
    </row>
    <row r="313" spans="1:29" s="1" customFormat="1" ht="23.25" customHeight="1" x14ac:dyDescent="0.2">
      <c r="A313" s="120" t="s">
        <v>131</v>
      </c>
      <c r="B313" s="293"/>
      <c r="C313" s="4"/>
      <c r="D313" s="33"/>
      <c r="E313" s="33"/>
      <c r="F313" s="60"/>
      <c r="G313" s="60"/>
      <c r="H313" s="26" t="s">
        <v>20</v>
      </c>
      <c r="I313" s="9"/>
      <c r="J313" s="9"/>
      <c r="K313" s="9"/>
      <c r="L313" s="9"/>
      <c r="M313" s="9"/>
      <c r="N313" s="9"/>
      <c r="O313" s="10"/>
      <c r="P313" s="10"/>
      <c r="Q313" s="33"/>
      <c r="R313" s="33"/>
      <c r="S313" s="33"/>
      <c r="T313" s="33"/>
      <c r="U313" s="33"/>
      <c r="V313" s="33"/>
      <c r="W313" s="208"/>
      <c r="X313" s="58"/>
      <c r="Y313" s="58"/>
      <c r="Z313" s="58"/>
      <c r="AA313" s="58"/>
      <c r="AB313" s="58"/>
      <c r="AC313" s="58"/>
    </row>
    <row r="314" spans="1:29" s="1" customFormat="1" ht="36" customHeight="1" x14ac:dyDescent="0.2">
      <c r="A314" s="120"/>
      <c r="B314" s="294"/>
      <c r="C314" s="4"/>
      <c r="D314" s="33"/>
      <c r="E314" s="33"/>
      <c r="F314" s="60"/>
      <c r="G314" s="60"/>
      <c r="H314" s="26" t="s">
        <v>16</v>
      </c>
      <c r="I314" s="9">
        <f>J314+K314+L314+M314+N314</f>
        <v>4919.0995999999996</v>
      </c>
      <c r="J314" s="9">
        <v>1488.3996</v>
      </c>
      <c r="K314" s="9">
        <v>725</v>
      </c>
      <c r="L314" s="9">
        <f t="shared" ref="L314:N314" si="54">980.9-79</f>
        <v>901.9</v>
      </c>
      <c r="M314" s="9">
        <f t="shared" si="54"/>
        <v>901.9</v>
      </c>
      <c r="N314" s="9">
        <f t="shared" si="54"/>
        <v>901.9</v>
      </c>
      <c r="O314" s="10"/>
      <c r="P314" s="10"/>
      <c r="Q314" s="33"/>
      <c r="R314" s="33"/>
      <c r="S314" s="33"/>
      <c r="T314" s="33"/>
      <c r="U314" s="33"/>
      <c r="V314" s="33"/>
      <c r="W314" s="209"/>
      <c r="X314" s="58"/>
      <c r="Y314" s="58"/>
      <c r="Z314" s="58"/>
      <c r="AA314" s="58"/>
      <c r="AB314" s="58"/>
      <c r="AC314" s="58"/>
    </row>
    <row r="315" spans="1:29" s="1" customFormat="1" ht="17.25" customHeight="1" x14ac:dyDescent="0.2">
      <c r="A315" s="325" t="s">
        <v>294</v>
      </c>
      <c r="B315" s="284" t="s">
        <v>140</v>
      </c>
      <c r="C315" s="4"/>
      <c r="D315" s="33"/>
      <c r="E315" s="33"/>
      <c r="F315" s="60"/>
      <c r="G315" s="60"/>
      <c r="H315" s="26" t="s">
        <v>19</v>
      </c>
      <c r="I315" s="29">
        <f t="shared" ref="I315:N315" si="55">I317</f>
        <v>8633.6056399999998</v>
      </c>
      <c r="J315" s="29">
        <f t="shared" si="55"/>
        <v>1606.4056399999999</v>
      </c>
      <c r="K315" s="29">
        <f t="shared" si="55"/>
        <v>1756.8</v>
      </c>
      <c r="L315" s="29">
        <f t="shared" si="55"/>
        <v>1756.8</v>
      </c>
      <c r="M315" s="29">
        <f t="shared" si="55"/>
        <v>1756.8</v>
      </c>
      <c r="N315" s="29">
        <f t="shared" si="55"/>
        <v>1756.8</v>
      </c>
      <c r="O315" s="10"/>
      <c r="P315" s="10"/>
      <c r="Q315" s="33"/>
      <c r="R315" s="33"/>
      <c r="S315" s="33"/>
      <c r="T315" s="33"/>
      <c r="U315" s="33"/>
      <c r="V315" s="33"/>
      <c r="W315" s="194" t="s">
        <v>112</v>
      </c>
      <c r="X315" s="58"/>
      <c r="Y315" s="58"/>
      <c r="Z315" s="58"/>
      <c r="AA315" s="58"/>
      <c r="AB315" s="58"/>
      <c r="AC315" s="58"/>
    </row>
    <row r="316" spans="1:29" s="1" customFormat="1" ht="26.25" customHeight="1" x14ac:dyDescent="0.2">
      <c r="A316" s="326"/>
      <c r="B316" s="285"/>
      <c r="C316" s="4"/>
      <c r="D316" s="33"/>
      <c r="E316" s="33"/>
      <c r="F316" s="60"/>
      <c r="G316" s="60"/>
      <c r="H316" s="26" t="s">
        <v>20</v>
      </c>
      <c r="I316" s="11"/>
      <c r="J316" s="11"/>
      <c r="K316" s="11"/>
      <c r="L316" s="11"/>
      <c r="M316" s="11"/>
      <c r="N316" s="11"/>
      <c r="O316" s="10"/>
      <c r="P316" s="10"/>
      <c r="Q316" s="33"/>
      <c r="R316" s="33"/>
      <c r="S316" s="33"/>
      <c r="T316" s="33"/>
      <c r="U316" s="33"/>
      <c r="V316" s="33"/>
      <c r="W316" s="196"/>
      <c r="X316" s="58"/>
      <c r="Y316" s="58"/>
      <c r="Z316" s="58"/>
      <c r="AA316" s="58"/>
      <c r="AB316" s="58"/>
      <c r="AC316" s="58"/>
    </row>
    <row r="317" spans="1:29" s="1" customFormat="1" ht="18.75" customHeight="1" x14ac:dyDescent="0.2">
      <c r="A317" s="327"/>
      <c r="B317" s="286"/>
      <c r="C317" s="4"/>
      <c r="D317" s="33"/>
      <c r="E317" s="33"/>
      <c r="F317" s="60"/>
      <c r="G317" s="60"/>
      <c r="H317" s="26" t="s">
        <v>16</v>
      </c>
      <c r="I317" s="9">
        <f>J317+K317+L317+M317+N317</f>
        <v>8633.6056399999998</v>
      </c>
      <c r="J317" s="9">
        <f>1235.53404+370.8716</f>
        <v>1606.4056399999999</v>
      </c>
      <c r="K317" s="9">
        <f t="shared" ref="K317:N317" si="56">1825.8-69</f>
        <v>1756.8</v>
      </c>
      <c r="L317" s="9">
        <f t="shared" si="56"/>
        <v>1756.8</v>
      </c>
      <c r="M317" s="9">
        <f t="shared" si="56"/>
        <v>1756.8</v>
      </c>
      <c r="N317" s="9">
        <f t="shared" si="56"/>
        <v>1756.8</v>
      </c>
      <c r="O317" s="10"/>
      <c r="P317" s="10"/>
      <c r="Q317" s="33"/>
      <c r="R317" s="33"/>
      <c r="S317" s="33"/>
      <c r="T317" s="33"/>
      <c r="U317" s="33"/>
      <c r="V317" s="33"/>
      <c r="W317" s="196"/>
      <c r="X317" s="58"/>
      <c r="Y317" s="58"/>
      <c r="Z317" s="58"/>
      <c r="AA317" s="58"/>
      <c r="AB317" s="58"/>
      <c r="AC317" s="58"/>
    </row>
    <row r="318" spans="1:29" s="1" customFormat="1" ht="27" customHeight="1" x14ac:dyDescent="0.2">
      <c r="A318" s="292" t="s">
        <v>67</v>
      </c>
      <c r="B318" s="237" t="s">
        <v>70</v>
      </c>
      <c r="C318" s="4"/>
      <c r="D318" s="33"/>
      <c r="E318" s="33"/>
      <c r="F318" s="60"/>
      <c r="G318" s="60"/>
      <c r="H318" s="15" t="s">
        <v>19</v>
      </c>
      <c r="I318" s="11">
        <f>I324+I327+I330</f>
        <v>7419.9266299999999</v>
      </c>
      <c r="J318" s="22">
        <f>J320</f>
        <v>1750.27063</v>
      </c>
      <c r="K318" s="11">
        <f t="shared" ref="K318:N318" si="57">K320</f>
        <v>1417.414</v>
      </c>
      <c r="L318" s="11">
        <f t="shared" si="57"/>
        <v>1417.414</v>
      </c>
      <c r="M318" s="11">
        <f t="shared" si="57"/>
        <v>1417.414</v>
      </c>
      <c r="N318" s="11">
        <f t="shared" si="57"/>
        <v>1417.414</v>
      </c>
      <c r="O318" s="10"/>
      <c r="P318" s="10"/>
      <c r="Q318" s="33"/>
      <c r="R318" s="33"/>
      <c r="S318" s="33"/>
      <c r="T318" s="33"/>
      <c r="U318" s="33"/>
      <c r="V318" s="33"/>
      <c r="W318" s="182"/>
      <c r="X318" s="58"/>
      <c r="Y318" s="58"/>
      <c r="Z318" s="58"/>
      <c r="AA318" s="58"/>
      <c r="AB318" s="58"/>
      <c r="AC318" s="58"/>
    </row>
    <row r="319" spans="1:29" s="1" customFormat="1" ht="24" customHeight="1" x14ac:dyDescent="0.2">
      <c r="A319" s="305"/>
      <c r="B319" s="307"/>
      <c r="C319" s="4"/>
      <c r="D319" s="33"/>
      <c r="E319" s="33"/>
      <c r="F319" s="60"/>
      <c r="G319" s="60"/>
      <c r="H319" s="15" t="s">
        <v>20</v>
      </c>
      <c r="I319" s="9"/>
      <c r="J319" s="20"/>
      <c r="K319" s="9"/>
      <c r="L319" s="9"/>
      <c r="M319" s="9"/>
      <c r="N319" s="9"/>
      <c r="O319" s="10"/>
      <c r="P319" s="10"/>
      <c r="Q319" s="33"/>
      <c r="R319" s="33"/>
      <c r="S319" s="33"/>
      <c r="T319" s="33"/>
      <c r="U319" s="33"/>
      <c r="V319" s="33"/>
      <c r="W319" s="199"/>
      <c r="X319" s="58"/>
      <c r="Y319" s="58"/>
      <c r="Z319" s="58"/>
      <c r="AA319" s="58"/>
      <c r="AB319" s="58"/>
      <c r="AC319" s="58"/>
    </row>
    <row r="320" spans="1:29" s="1" customFormat="1" ht="29.25" customHeight="1" x14ac:dyDescent="0.2">
      <c r="A320" s="306"/>
      <c r="B320" s="308"/>
      <c r="C320" s="4"/>
      <c r="D320" s="33"/>
      <c r="E320" s="33"/>
      <c r="F320" s="60"/>
      <c r="G320" s="60"/>
      <c r="H320" s="15" t="s">
        <v>16</v>
      </c>
      <c r="I320" s="11">
        <f t="shared" ref="I320:N320" si="58">I326+I329+I333</f>
        <v>7419.9266299999999</v>
      </c>
      <c r="J320" s="11">
        <f t="shared" si="58"/>
        <v>1750.27063</v>
      </c>
      <c r="K320" s="11">
        <f t="shared" si="58"/>
        <v>1417.414</v>
      </c>
      <c r="L320" s="11">
        <f t="shared" si="58"/>
        <v>1417.414</v>
      </c>
      <c r="M320" s="11">
        <f t="shared" si="58"/>
        <v>1417.414</v>
      </c>
      <c r="N320" s="11">
        <f t="shared" si="58"/>
        <v>1417.414</v>
      </c>
      <c r="O320" s="10"/>
      <c r="P320" s="10"/>
      <c r="Q320" s="33"/>
      <c r="R320" s="33"/>
      <c r="S320" s="33"/>
      <c r="T320" s="33"/>
      <c r="U320" s="33"/>
      <c r="V320" s="33"/>
      <c r="W320" s="199"/>
      <c r="X320" s="58"/>
      <c r="Y320" s="58"/>
      <c r="Z320" s="58"/>
      <c r="AA320" s="58"/>
      <c r="AB320" s="58"/>
      <c r="AC320" s="58"/>
    </row>
    <row r="321" spans="1:29" s="1" customFormat="1" ht="25.5" hidden="1" customHeight="1" x14ac:dyDescent="0.2">
      <c r="A321" s="120" t="s">
        <v>69</v>
      </c>
      <c r="B321" s="341" t="s">
        <v>122</v>
      </c>
      <c r="C321" s="4"/>
      <c r="D321" s="33"/>
      <c r="E321" s="33"/>
      <c r="F321" s="60"/>
      <c r="G321" s="60"/>
      <c r="H321" s="26" t="s">
        <v>19</v>
      </c>
      <c r="I321" s="9">
        <f>J321</f>
        <v>0</v>
      </c>
      <c r="J321" s="9">
        <f>J323</f>
        <v>0</v>
      </c>
      <c r="K321" s="20"/>
      <c r="L321" s="9"/>
      <c r="M321" s="9"/>
      <c r="N321" s="9"/>
      <c r="O321" s="10"/>
      <c r="P321" s="10"/>
      <c r="Q321" s="33"/>
      <c r="R321" s="33"/>
      <c r="S321" s="33"/>
      <c r="T321" s="33"/>
      <c r="U321" s="33"/>
      <c r="V321" s="33"/>
      <c r="W321" s="114"/>
      <c r="X321" s="58"/>
      <c r="Y321" s="58"/>
      <c r="Z321" s="58"/>
      <c r="AA321" s="58"/>
      <c r="AB321" s="58"/>
      <c r="AC321" s="58"/>
    </row>
    <row r="322" spans="1:29" s="1" customFormat="1" ht="25.5" hidden="1" customHeight="1" x14ac:dyDescent="0.2">
      <c r="A322" s="120"/>
      <c r="B322" s="342"/>
      <c r="C322" s="4"/>
      <c r="D322" s="33"/>
      <c r="E322" s="33"/>
      <c r="F322" s="60"/>
      <c r="G322" s="60"/>
      <c r="H322" s="26" t="s">
        <v>20</v>
      </c>
      <c r="I322" s="9"/>
      <c r="J322" s="9"/>
      <c r="K322" s="20"/>
      <c r="L322" s="9"/>
      <c r="M322" s="9"/>
      <c r="N322" s="9"/>
      <c r="O322" s="10"/>
      <c r="P322" s="10"/>
      <c r="Q322" s="33"/>
      <c r="R322" s="33"/>
      <c r="S322" s="33"/>
      <c r="T322" s="33"/>
      <c r="U322" s="33"/>
      <c r="V322" s="33"/>
      <c r="W322" s="114"/>
      <c r="X322" s="58"/>
      <c r="Y322" s="58"/>
      <c r="Z322" s="58"/>
      <c r="AA322" s="58"/>
      <c r="AB322" s="58"/>
      <c r="AC322" s="58"/>
    </row>
    <row r="323" spans="1:29" s="1" customFormat="1" ht="25.5" hidden="1" customHeight="1" x14ac:dyDescent="0.2">
      <c r="A323" s="120"/>
      <c r="B323" s="343"/>
      <c r="C323" s="4"/>
      <c r="D323" s="33"/>
      <c r="E323" s="33"/>
      <c r="F323" s="60"/>
      <c r="G323" s="60"/>
      <c r="H323" s="26" t="s">
        <v>16</v>
      </c>
      <c r="I323" s="9">
        <f>J323</f>
        <v>0</v>
      </c>
      <c r="J323" s="9"/>
      <c r="K323" s="20"/>
      <c r="L323" s="9"/>
      <c r="M323" s="9"/>
      <c r="N323" s="9"/>
      <c r="O323" s="10"/>
      <c r="P323" s="10"/>
      <c r="Q323" s="33"/>
      <c r="R323" s="33"/>
      <c r="S323" s="33"/>
      <c r="T323" s="33"/>
      <c r="U323" s="33"/>
      <c r="V323" s="33"/>
      <c r="W323" s="114"/>
      <c r="X323" s="58"/>
      <c r="Y323" s="58"/>
      <c r="Z323" s="58"/>
      <c r="AA323" s="58"/>
      <c r="AB323" s="58"/>
      <c r="AC323" s="58"/>
    </row>
    <row r="324" spans="1:29" s="1" customFormat="1" ht="25.5" customHeight="1" x14ac:dyDescent="0.2">
      <c r="A324" s="325" t="s">
        <v>68</v>
      </c>
      <c r="B324" s="284" t="s">
        <v>151</v>
      </c>
      <c r="C324" s="4"/>
      <c r="D324" s="33"/>
      <c r="E324" s="33"/>
      <c r="F324" s="60"/>
      <c r="G324" s="60"/>
      <c r="H324" s="26" t="s">
        <v>19</v>
      </c>
      <c r="I324" s="29">
        <f>J324+K324+L324+M324+N324</f>
        <v>2960.0513300000002</v>
      </c>
      <c r="J324" s="9">
        <f>J326</f>
        <v>1195.99533</v>
      </c>
      <c r="K324" s="9">
        <f t="shared" ref="K324:N324" si="59">K326</f>
        <v>441.01400000000001</v>
      </c>
      <c r="L324" s="9">
        <f t="shared" si="59"/>
        <v>441.01400000000001</v>
      </c>
      <c r="M324" s="9">
        <f t="shared" si="59"/>
        <v>441.01400000000001</v>
      </c>
      <c r="N324" s="9">
        <f t="shared" si="59"/>
        <v>441.01400000000001</v>
      </c>
      <c r="O324" s="10"/>
      <c r="P324" s="10"/>
      <c r="Q324" s="33"/>
      <c r="R324" s="33"/>
      <c r="S324" s="33"/>
      <c r="T324" s="33"/>
      <c r="U324" s="33"/>
      <c r="V324" s="33"/>
      <c r="W324" s="182" t="s">
        <v>26</v>
      </c>
      <c r="X324" s="58"/>
      <c r="Y324" s="58"/>
      <c r="Z324" s="58"/>
      <c r="AA324" s="58"/>
      <c r="AB324" s="58"/>
      <c r="AC324" s="58"/>
    </row>
    <row r="325" spans="1:29" s="1" customFormat="1" ht="25.5" customHeight="1" x14ac:dyDescent="0.2">
      <c r="A325" s="326"/>
      <c r="B325" s="285"/>
      <c r="C325" s="4"/>
      <c r="D325" s="33"/>
      <c r="E325" s="33"/>
      <c r="F325" s="60"/>
      <c r="G325" s="60"/>
      <c r="H325" s="26" t="s">
        <v>20</v>
      </c>
      <c r="I325" s="9"/>
      <c r="J325" s="9"/>
      <c r="K325" s="9"/>
      <c r="L325" s="9"/>
      <c r="M325" s="9"/>
      <c r="N325" s="9"/>
      <c r="O325" s="10"/>
      <c r="P325" s="10"/>
      <c r="Q325" s="33"/>
      <c r="R325" s="33"/>
      <c r="S325" s="33"/>
      <c r="T325" s="33"/>
      <c r="U325" s="33"/>
      <c r="V325" s="33"/>
      <c r="W325" s="199"/>
      <c r="X325" s="58"/>
      <c r="Y325" s="58"/>
      <c r="Z325" s="58"/>
      <c r="AA325" s="58"/>
      <c r="AB325" s="58"/>
      <c r="AC325" s="58"/>
    </row>
    <row r="326" spans="1:29" s="1" customFormat="1" ht="49.5" customHeight="1" x14ac:dyDescent="0.2">
      <c r="A326" s="327"/>
      <c r="B326" s="286"/>
      <c r="C326" s="4"/>
      <c r="D326" s="33"/>
      <c r="E326" s="33"/>
      <c r="F326" s="60"/>
      <c r="G326" s="60"/>
      <c r="H326" s="26" t="s">
        <v>16</v>
      </c>
      <c r="I326" s="29">
        <f>J326+K326+L326+M326+N326</f>
        <v>2960.0513300000002</v>
      </c>
      <c r="J326" s="9">
        <v>1195.99533</v>
      </c>
      <c r="K326" s="9">
        <f t="shared" ref="K326:N326" si="60">510.3-69.286</f>
        <v>441.01400000000001</v>
      </c>
      <c r="L326" s="9">
        <f t="shared" si="60"/>
        <v>441.01400000000001</v>
      </c>
      <c r="M326" s="9">
        <f t="shared" si="60"/>
        <v>441.01400000000001</v>
      </c>
      <c r="N326" s="9">
        <f t="shared" si="60"/>
        <v>441.01400000000001</v>
      </c>
      <c r="O326" s="10"/>
      <c r="P326" s="10"/>
      <c r="Q326" s="33"/>
      <c r="R326" s="33"/>
      <c r="S326" s="33"/>
      <c r="T326" s="33"/>
      <c r="U326" s="33"/>
      <c r="V326" s="33"/>
      <c r="W326" s="199"/>
      <c r="X326" s="58"/>
      <c r="Y326" s="58"/>
      <c r="Z326" s="58"/>
      <c r="AA326" s="58"/>
      <c r="AB326" s="58"/>
      <c r="AC326" s="58"/>
    </row>
    <row r="327" spans="1:29" s="1" customFormat="1" ht="25.5" customHeight="1" x14ac:dyDescent="0.2">
      <c r="A327" s="120" t="s">
        <v>69</v>
      </c>
      <c r="B327" s="341" t="s">
        <v>152</v>
      </c>
      <c r="C327" s="4"/>
      <c r="D327" s="33"/>
      <c r="E327" s="33"/>
      <c r="F327" s="60"/>
      <c r="G327" s="60"/>
      <c r="H327" s="26" t="s">
        <v>19</v>
      </c>
      <c r="I327" s="29">
        <f>J327+K327+L327+M327+N327</f>
        <v>2007.1999999999998</v>
      </c>
      <c r="J327" s="9"/>
      <c r="K327" s="9">
        <f t="shared" ref="K327:N327" si="61">K329</f>
        <v>501.79999999999995</v>
      </c>
      <c r="L327" s="9">
        <f t="shared" si="61"/>
        <v>501.79999999999995</v>
      </c>
      <c r="M327" s="9">
        <f t="shared" si="61"/>
        <v>501.79999999999995</v>
      </c>
      <c r="N327" s="9">
        <f t="shared" si="61"/>
        <v>501.79999999999995</v>
      </c>
      <c r="O327" s="10"/>
      <c r="P327" s="10"/>
      <c r="Q327" s="33"/>
      <c r="R327" s="33"/>
      <c r="S327" s="33"/>
      <c r="T327" s="33"/>
      <c r="U327" s="33"/>
      <c r="V327" s="33"/>
      <c r="W327" s="252" t="s">
        <v>26</v>
      </c>
      <c r="X327" s="58"/>
      <c r="Y327" s="58"/>
      <c r="Z327" s="58"/>
      <c r="AA327" s="58"/>
      <c r="AB327" s="58"/>
      <c r="AC327" s="58"/>
    </row>
    <row r="328" spans="1:29" s="1" customFormat="1" ht="25.5" customHeight="1" x14ac:dyDescent="0.2">
      <c r="A328" s="120"/>
      <c r="B328" s="342"/>
      <c r="C328" s="4"/>
      <c r="D328" s="33"/>
      <c r="E328" s="33"/>
      <c r="F328" s="60"/>
      <c r="G328" s="60"/>
      <c r="H328" s="26" t="s">
        <v>20</v>
      </c>
      <c r="I328" s="9"/>
      <c r="J328" s="9"/>
      <c r="K328" s="9"/>
      <c r="L328" s="9"/>
      <c r="M328" s="9"/>
      <c r="N328" s="9"/>
      <c r="O328" s="10"/>
      <c r="P328" s="10"/>
      <c r="Q328" s="33"/>
      <c r="R328" s="33"/>
      <c r="S328" s="33"/>
      <c r="T328" s="33"/>
      <c r="U328" s="33"/>
      <c r="V328" s="33"/>
      <c r="W328" s="208"/>
      <c r="X328" s="58"/>
      <c r="Y328" s="58"/>
      <c r="Z328" s="58"/>
      <c r="AA328" s="58"/>
      <c r="AB328" s="58"/>
      <c r="AC328" s="58"/>
    </row>
    <row r="329" spans="1:29" s="1" customFormat="1" ht="25.5" customHeight="1" x14ac:dyDescent="0.2">
      <c r="A329" s="120"/>
      <c r="B329" s="343"/>
      <c r="C329" s="4"/>
      <c r="D329" s="33"/>
      <c r="E329" s="33"/>
      <c r="F329" s="60"/>
      <c r="G329" s="60"/>
      <c r="H329" s="26" t="s">
        <v>16</v>
      </c>
      <c r="I329" s="29">
        <f>J329+K329+L329+M329+N329</f>
        <v>2007.1999999999998</v>
      </c>
      <c r="J329" s="9"/>
      <c r="K329" s="9">
        <f t="shared" ref="K329:N329" si="62">580.8-79</f>
        <v>501.79999999999995</v>
      </c>
      <c r="L329" s="9">
        <f t="shared" si="62"/>
        <v>501.79999999999995</v>
      </c>
      <c r="M329" s="9">
        <f t="shared" si="62"/>
        <v>501.79999999999995</v>
      </c>
      <c r="N329" s="9">
        <f t="shared" si="62"/>
        <v>501.79999999999995</v>
      </c>
      <c r="O329" s="10"/>
      <c r="P329" s="10"/>
      <c r="Q329" s="33"/>
      <c r="R329" s="33"/>
      <c r="S329" s="33"/>
      <c r="T329" s="33"/>
      <c r="U329" s="33"/>
      <c r="V329" s="33"/>
      <c r="W329" s="209"/>
      <c r="X329" s="58"/>
      <c r="Y329" s="58"/>
      <c r="Z329" s="58"/>
      <c r="AA329" s="58"/>
      <c r="AB329" s="58"/>
      <c r="AC329" s="58"/>
    </row>
    <row r="330" spans="1:29" s="1" customFormat="1" ht="21" customHeight="1" x14ac:dyDescent="0.2">
      <c r="A330" s="287" t="s">
        <v>128</v>
      </c>
      <c r="B330" s="335" t="s">
        <v>110</v>
      </c>
      <c r="C330" s="33"/>
      <c r="D330" s="33"/>
      <c r="E330" s="33"/>
      <c r="F330" s="60"/>
      <c r="G330" s="60"/>
      <c r="H330" s="26" t="s">
        <v>19</v>
      </c>
      <c r="I330" s="20">
        <f>J330+K330+L330+M330+N330</f>
        <v>2452.6752999999999</v>
      </c>
      <c r="J330" s="9">
        <f>J333</f>
        <v>554.27530000000002</v>
      </c>
      <c r="K330" s="9">
        <f t="shared" ref="K330:N330" si="63">K333</f>
        <v>474.6</v>
      </c>
      <c r="L330" s="9">
        <f t="shared" si="63"/>
        <v>474.6</v>
      </c>
      <c r="M330" s="9">
        <f t="shared" si="63"/>
        <v>474.6</v>
      </c>
      <c r="N330" s="9">
        <f t="shared" si="63"/>
        <v>474.6</v>
      </c>
      <c r="O330" s="10"/>
      <c r="P330" s="10"/>
      <c r="Q330" s="33"/>
      <c r="R330" s="33"/>
      <c r="S330" s="33"/>
      <c r="T330" s="33"/>
      <c r="U330" s="33"/>
      <c r="V330" s="33"/>
      <c r="W330" s="200" t="s">
        <v>26</v>
      </c>
      <c r="X330" s="58"/>
      <c r="Y330" s="58"/>
      <c r="Z330" s="58"/>
      <c r="AA330" s="58"/>
      <c r="AB330" s="58"/>
      <c r="AC330" s="58"/>
    </row>
    <row r="331" spans="1:29" s="1" customFormat="1" ht="21.75" hidden="1" customHeight="1" thickBot="1" x14ac:dyDescent="0.25">
      <c r="A331" s="288"/>
      <c r="B331" s="336"/>
      <c r="C331" s="117"/>
      <c r="D331" s="117"/>
      <c r="E331" s="117"/>
      <c r="F331" s="7"/>
      <c r="G331" s="7"/>
      <c r="H331" s="26" t="s">
        <v>20</v>
      </c>
      <c r="I331" s="20"/>
      <c r="J331" s="20"/>
      <c r="K331" s="20"/>
      <c r="L331" s="20"/>
      <c r="M331" s="20"/>
      <c r="N331" s="20"/>
      <c r="O331" s="10"/>
      <c r="P331" s="10"/>
      <c r="Q331" s="33"/>
      <c r="R331" s="33"/>
      <c r="S331" s="33"/>
      <c r="T331" s="33"/>
      <c r="U331" s="33"/>
      <c r="V331" s="33"/>
      <c r="W331" s="196"/>
      <c r="X331" s="58"/>
      <c r="Y331" s="58"/>
      <c r="Z331" s="58"/>
      <c r="AA331" s="58"/>
      <c r="AB331" s="58"/>
      <c r="AC331" s="58"/>
    </row>
    <row r="332" spans="1:29" s="1" customFormat="1" ht="21.75" customHeight="1" x14ac:dyDescent="0.2">
      <c r="A332" s="288"/>
      <c r="B332" s="336"/>
      <c r="C332" s="117"/>
      <c r="D332" s="117"/>
      <c r="E332" s="117"/>
      <c r="F332" s="7"/>
      <c r="G332" s="7"/>
      <c r="H332" s="26" t="s">
        <v>20</v>
      </c>
      <c r="I332" s="9"/>
      <c r="J332" s="9"/>
      <c r="K332" s="9"/>
      <c r="L332" s="9"/>
      <c r="M332" s="9"/>
      <c r="N332" s="9"/>
      <c r="O332" s="10"/>
      <c r="P332" s="10"/>
      <c r="Q332" s="33"/>
      <c r="R332" s="33"/>
      <c r="S332" s="33"/>
      <c r="T332" s="33"/>
      <c r="U332" s="33"/>
      <c r="V332" s="33"/>
      <c r="W332" s="196"/>
      <c r="X332" s="58"/>
      <c r="Y332" s="58"/>
      <c r="Z332" s="58"/>
      <c r="AA332" s="58"/>
      <c r="AB332" s="58"/>
      <c r="AC332" s="58"/>
    </row>
    <row r="333" spans="1:29" s="1" customFormat="1" ht="34.5" customHeight="1" x14ac:dyDescent="0.2">
      <c r="A333" s="304"/>
      <c r="B333" s="337"/>
      <c r="C333" s="117"/>
      <c r="D333" s="117"/>
      <c r="E333" s="117"/>
      <c r="F333" s="7"/>
      <c r="G333" s="7"/>
      <c r="H333" s="26" t="s">
        <v>16</v>
      </c>
      <c r="I333" s="20">
        <f>J333+K333+L333+M333+N333</f>
        <v>2452.6752999999999</v>
      </c>
      <c r="J333" s="20">
        <f>408.0557+146.2196</f>
        <v>554.27530000000002</v>
      </c>
      <c r="K333" s="20">
        <f t="shared" ref="K333:N333" si="64">543.6-69</f>
        <v>474.6</v>
      </c>
      <c r="L333" s="20">
        <f t="shared" si="64"/>
        <v>474.6</v>
      </c>
      <c r="M333" s="20">
        <f t="shared" si="64"/>
        <v>474.6</v>
      </c>
      <c r="N333" s="20">
        <f t="shared" si="64"/>
        <v>474.6</v>
      </c>
      <c r="O333" s="10"/>
      <c r="P333" s="10"/>
      <c r="Q333" s="33"/>
      <c r="R333" s="33"/>
      <c r="S333" s="33"/>
      <c r="T333" s="33"/>
      <c r="U333" s="33"/>
      <c r="V333" s="33"/>
      <c r="W333" s="261"/>
      <c r="X333" s="58"/>
      <c r="Y333" s="58"/>
      <c r="Z333" s="58"/>
      <c r="AA333" s="58"/>
      <c r="AB333" s="58"/>
      <c r="AC333" s="58"/>
    </row>
    <row r="334" spans="1:29" s="1" customFormat="1" ht="31.5" customHeight="1" x14ac:dyDescent="0.2">
      <c r="A334" s="292" t="s">
        <v>161</v>
      </c>
      <c r="B334" s="338" t="s">
        <v>71</v>
      </c>
      <c r="C334" s="33"/>
      <c r="D334" s="33"/>
      <c r="E334" s="33"/>
      <c r="F334" s="60"/>
      <c r="G334" s="60"/>
      <c r="H334" s="15" t="s">
        <v>19</v>
      </c>
      <c r="I334" s="22">
        <f>I337+I340</f>
        <v>10400.86001</v>
      </c>
      <c r="J334" s="22">
        <f t="shared" ref="J334:N334" si="65">J336</f>
        <v>3382.2848100000001</v>
      </c>
      <c r="K334" s="22">
        <f t="shared" si="65"/>
        <v>1754.6437999999998</v>
      </c>
      <c r="L334" s="22">
        <f t="shared" si="65"/>
        <v>1754.6437999999998</v>
      </c>
      <c r="M334" s="22">
        <f t="shared" si="65"/>
        <v>1754.6437999999998</v>
      </c>
      <c r="N334" s="22">
        <f t="shared" si="65"/>
        <v>1754.6437999999998</v>
      </c>
      <c r="O334" s="10"/>
      <c r="P334" s="10"/>
      <c r="Q334" s="33"/>
      <c r="R334" s="33"/>
      <c r="S334" s="33"/>
      <c r="T334" s="33"/>
      <c r="U334" s="33"/>
      <c r="V334" s="33"/>
      <c r="W334" s="194"/>
      <c r="X334" s="58"/>
      <c r="Y334" s="58"/>
      <c r="Z334" s="58"/>
      <c r="AA334" s="58"/>
      <c r="AB334" s="58"/>
      <c r="AC334" s="58"/>
    </row>
    <row r="335" spans="1:29" s="1" customFormat="1" ht="30" customHeight="1" x14ac:dyDescent="0.2">
      <c r="A335" s="260"/>
      <c r="B335" s="339"/>
      <c r="C335" s="33"/>
      <c r="D335" s="33"/>
      <c r="E335" s="33"/>
      <c r="F335" s="60"/>
      <c r="G335" s="60"/>
      <c r="H335" s="15" t="s">
        <v>20</v>
      </c>
      <c r="I335" s="22"/>
      <c r="J335" s="22"/>
      <c r="K335" s="22"/>
      <c r="L335" s="22"/>
      <c r="M335" s="22"/>
      <c r="N335" s="22"/>
      <c r="O335" s="10"/>
      <c r="P335" s="10"/>
      <c r="Q335" s="33"/>
      <c r="R335" s="33"/>
      <c r="S335" s="33"/>
      <c r="T335" s="33"/>
      <c r="U335" s="33"/>
      <c r="V335" s="33"/>
      <c r="W335" s="236"/>
      <c r="X335" s="58"/>
      <c r="Y335" s="58"/>
      <c r="Z335" s="58"/>
      <c r="AA335" s="58"/>
      <c r="AB335" s="58"/>
      <c r="AC335" s="58"/>
    </row>
    <row r="336" spans="1:29" s="1" customFormat="1" ht="21" customHeight="1" x14ac:dyDescent="0.2">
      <c r="A336" s="261"/>
      <c r="B336" s="340"/>
      <c r="C336" s="33"/>
      <c r="D336" s="33"/>
      <c r="E336" s="33"/>
      <c r="F336" s="60"/>
      <c r="G336" s="60"/>
      <c r="H336" s="15" t="s">
        <v>16</v>
      </c>
      <c r="I336" s="22">
        <f t="shared" ref="I336:N336" si="66">I339+I342</f>
        <v>10400.86001</v>
      </c>
      <c r="J336" s="22">
        <f t="shared" si="66"/>
        <v>3382.2848100000001</v>
      </c>
      <c r="K336" s="22">
        <f t="shared" si="66"/>
        <v>1754.6437999999998</v>
      </c>
      <c r="L336" s="22">
        <f t="shared" si="66"/>
        <v>1754.6437999999998</v>
      </c>
      <c r="M336" s="22">
        <f t="shared" si="66"/>
        <v>1754.6437999999998</v>
      </c>
      <c r="N336" s="22">
        <f t="shared" si="66"/>
        <v>1754.6437999999998</v>
      </c>
      <c r="O336" s="10"/>
      <c r="P336" s="10"/>
      <c r="Q336" s="33"/>
      <c r="R336" s="33"/>
      <c r="S336" s="33"/>
      <c r="T336" s="33"/>
      <c r="U336" s="33"/>
      <c r="V336" s="33"/>
      <c r="W336" s="195"/>
      <c r="X336" s="58"/>
      <c r="Y336" s="58"/>
      <c r="Z336" s="58"/>
      <c r="AA336" s="58"/>
      <c r="AB336" s="58"/>
      <c r="AC336" s="58"/>
    </row>
    <row r="337" spans="1:31" s="1" customFormat="1" ht="27" customHeight="1" x14ac:dyDescent="0.2">
      <c r="A337" s="287" t="s">
        <v>72</v>
      </c>
      <c r="B337" s="295" t="s">
        <v>146</v>
      </c>
      <c r="C337" s="33"/>
      <c r="D337" s="33"/>
      <c r="E337" s="33"/>
      <c r="F337" s="60"/>
      <c r="G337" s="60"/>
      <c r="H337" s="26" t="s">
        <v>19</v>
      </c>
      <c r="I337" s="23">
        <f>J337+K337+L337+M337+N337</f>
        <v>3521.4333299999998</v>
      </c>
      <c r="J337" s="23">
        <f>J339</f>
        <v>1840.1133299999999</v>
      </c>
      <c r="K337" s="23">
        <f t="shared" ref="K337:N337" si="67">K339</f>
        <v>420.33</v>
      </c>
      <c r="L337" s="23">
        <f t="shared" si="67"/>
        <v>420.33</v>
      </c>
      <c r="M337" s="23">
        <f t="shared" si="67"/>
        <v>420.33</v>
      </c>
      <c r="N337" s="23">
        <f t="shared" si="67"/>
        <v>420.33</v>
      </c>
      <c r="O337" s="10"/>
      <c r="P337" s="10"/>
      <c r="Q337" s="33"/>
      <c r="R337" s="33"/>
      <c r="S337" s="33"/>
      <c r="T337" s="33"/>
      <c r="U337" s="33"/>
      <c r="V337" s="33"/>
      <c r="W337" s="252" t="s">
        <v>26</v>
      </c>
      <c r="X337" s="58"/>
      <c r="Y337" s="58"/>
      <c r="Z337" s="58"/>
      <c r="AA337" s="58"/>
      <c r="AB337" s="58"/>
      <c r="AC337" s="58"/>
    </row>
    <row r="338" spans="1:31" s="1" customFormat="1" ht="27" customHeight="1" x14ac:dyDescent="0.2">
      <c r="A338" s="288"/>
      <c r="B338" s="293"/>
      <c r="C338" s="33"/>
      <c r="D338" s="33"/>
      <c r="E338" s="33"/>
      <c r="F338" s="60"/>
      <c r="G338" s="60"/>
      <c r="H338" s="26" t="s">
        <v>20</v>
      </c>
      <c r="I338" s="23"/>
      <c r="J338" s="23"/>
      <c r="K338" s="23"/>
      <c r="L338" s="23"/>
      <c r="M338" s="23"/>
      <c r="N338" s="23"/>
      <c r="O338" s="10"/>
      <c r="P338" s="10"/>
      <c r="Q338" s="33"/>
      <c r="R338" s="33"/>
      <c r="S338" s="33"/>
      <c r="T338" s="33"/>
      <c r="U338" s="33"/>
      <c r="V338" s="33"/>
      <c r="W338" s="208"/>
      <c r="X338" s="58"/>
      <c r="Y338" s="58"/>
      <c r="Z338" s="58"/>
      <c r="AA338" s="58"/>
      <c r="AB338" s="58"/>
      <c r="AC338" s="58"/>
      <c r="AE338" s="1" t="s">
        <v>189</v>
      </c>
    </row>
    <row r="339" spans="1:31" s="1" customFormat="1" ht="27" customHeight="1" x14ac:dyDescent="0.2">
      <c r="A339" s="349"/>
      <c r="B339" s="294"/>
      <c r="C339" s="33"/>
      <c r="D339" s="33"/>
      <c r="E339" s="33"/>
      <c r="F339" s="60"/>
      <c r="G339" s="60"/>
      <c r="H339" s="26" t="s">
        <v>16</v>
      </c>
      <c r="I339" s="23">
        <f>J339+K339+L339+M339+N339</f>
        <v>3521.4333299999998</v>
      </c>
      <c r="J339" s="23">
        <v>1840.1133299999999</v>
      </c>
      <c r="K339" s="23">
        <f t="shared" ref="K339:N339" si="68">489.33-69</f>
        <v>420.33</v>
      </c>
      <c r="L339" s="23">
        <f t="shared" si="68"/>
        <v>420.33</v>
      </c>
      <c r="M339" s="23">
        <f t="shared" si="68"/>
        <v>420.33</v>
      </c>
      <c r="N339" s="23">
        <f t="shared" si="68"/>
        <v>420.33</v>
      </c>
      <c r="O339" s="10"/>
      <c r="P339" s="10"/>
      <c r="Q339" s="33"/>
      <c r="R339" s="33"/>
      <c r="S339" s="33"/>
      <c r="T339" s="33"/>
      <c r="U339" s="33"/>
      <c r="V339" s="33"/>
      <c r="W339" s="209"/>
      <c r="X339" s="58"/>
      <c r="Y339" s="58"/>
      <c r="Z339" s="58"/>
      <c r="AA339" s="58"/>
      <c r="AB339" s="58"/>
      <c r="AC339" s="58"/>
    </row>
    <row r="340" spans="1:31" ht="26.25" customHeight="1" x14ac:dyDescent="0.2">
      <c r="A340" s="350" t="s">
        <v>73</v>
      </c>
      <c r="B340" s="352" t="s">
        <v>111</v>
      </c>
      <c r="C340" s="129"/>
      <c r="D340" s="129"/>
      <c r="E340" s="129"/>
      <c r="F340" s="129"/>
      <c r="G340" s="129"/>
      <c r="H340" s="26" t="s">
        <v>19</v>
      </c>
      <c r="I340" s="23">
        <f>J340+K340+L340+M340+N340</f>
        <v>6879.4266799999996</v>
      </c>
      <c r="J340" s="29">
        <f t="shared" ref="J340:N340" si="69">J342</f>
        <v>1542.17148</v>
      </c>
      <c r="K340" s="29">
        <f t="shared" si="69"/>
        <v>1334.3137999999999</v>
      </c>
      <c r="L340" s="29">
        <f t="shared" si="69"/>
        <v>1334.3137999999999</v>
      </c>
      <c r="M340" s="29">
        <f t="shared" si="69"/>
        <v>1334.3137999999999</v>
      </c>
      <c r="N340" s="29">
        <f t="shared" si="69"/>
        <v>1334.3137999999999</v>
      </c>
      <c r="O340" s="129"/>
      <c r="P340" s="16"/>
      <c r="Q340" s="16"/>
      <c r="R340" s="5"/>
      <c r="S340" s="5"/>
      <c r="T340" s="5"/>
      <c r="U340" s="5"/>
      <c r="V340" s="5"/>
      <c r="W340" s="265" t="s">
        <v>26</v>
      </c>
    </row>
    <row r="341" spans="1:31" ht="21.75" customHeight="1" x14ac:dyDescent="0.2">
      <c r="A341" s="351"/>
      <c r="B341" s="353"/>
      <c r="C341" s="129"/>
      <c r="D341" s="129"/>
      <c r="E341" s="129"/>
      <c r="F341" s="129"/>
      <c r="G341" s="129"/>
      <c r="H341" s="26" t="s">
        <v>20</v>
      </c>
      <c r="I341" s="11"/>
      <c r="J341" s="11"/>
      <c r="K341" s="11"/>
      <c r="L341" s="11"/>
      <c r="M341" s="11"/>
      <c r="N341" s="11"/>
      <c r="O341" s="129"/>
      <c r="P341" s="16"/>
      <c r="Q341" s="16"/>
      <c r="R341" s="5"/>
      <c r="S341" s="5"/>
      <c r="T341" s="5"/>
      <c r="U341" s="5"/>
      <c r="V341" s="5"/>
      <c r="W341" s="266"/>
    </row>
    <row r="342" spans="1:31" ht="23.25" customHeight="1" x14ac:dyDescent="0.2">
      <c r="A342" s="351"/>
      <c r="B342" s="353"/>
      <c r="C342" s="129"/>
      <c r="D342" s="129"/>
      <c r="E342" s="129"/>
      <c r="F342" s="129"/>
      <c r="G342" s="129"/>
      <c r="H342" s="26" t="s">
        <v>16</v>
      </c>
      <c r="I342" s="23">
        <f>J342+K342+L342+M342+N342</f>
        <v>6879.4266799999996</v>
      </c>
      <c r="J342" s="29">
        <f>1170.42188+371.7496</f>
        <v>1542.17148</v>
      </c>
      <c r="K342" s="29">
        <f t="shared" ref="K342:N342" si="70">1423.6-89.2862</f>
        <v>1334.3137999999999</v>
      </c>
      <c r="L342" s="29">
        <f t="shared" si="70"/>
        <v>1334.3137999999999</v>
      </c>
      <c r="M342" s="29">
        <f t="shared" si="70"/>
        <v>1334.3137999999999</v>
      </c>
      <c r="N342" s="29">
        <f t="shared" si="70"/>
        <v>1334.3137999999999</v>
      </c>
      <c r="O342" s="129"/>
      <c r="P342" s="16"/>
      <c r="Q342" s="16"/>
      <c r="R342" s="5"/>
      <c r="S342" s="5"/>
      <c r="T342" s="5"/>
      <c r="U342" s="5"/>
      <c r="V342" s="5"/>
      <c r="W342" s="267"/>
    </row>
    <row r="343" spans="1:31" s="1" customFormat="1" ht="27.75" hidden="1" customHeight="1" x14ac:dyDescent="0.2">
      <c r="A343" s="344" t="s">
        <v>74</v>
      </c>
      <c r="B343" s="345" t="s">
        <v>75</v>
      </c>
      <c r="C343" s="33"/>
      <c r="D343" s="33"/>
      <c r="E343" s="33"/>
      <c r="F343" s="60"/>
      <c r="G343" s="60"/>
      <c r="H343" s="15" t="s">
        <v>19</v>
      </c>
      <c r="I343" s="11">
        <f t="shared" ref="I343:N343" si="71">I345</f>
        <v>0</v>
      </c>
      <c r="J343" s="34">
        <f t="shared" si="71"/>
        <v>0</v>
      </c>
      <c r="K343" s="11">
        <f t="shared" si="71"/>
        <v>0</v>
      </c>
      <c r="L343" s="11">
        <f t="shared" si="71"/>
        <v>0</v>
      </c>
      <c r="M343" s="11">
        <f t="shared" si="71"/>
        <v>0</v>
      </c>
      <c r="N343" s="11">
        <f t="shared" si="71"/>
        <v>0</v>
      </c>
      <c r="O343" s="10"/>
      <c r="P343" s="10"/>
      <c r="Q343" s="33"/>
      <c r="R343" s="33"/>
      <c r="S343" s="33"/>
      <c r="T343" s="33"/>
      <c r="U343" s="33"/>
      <c r="V343" s="33"/>
      <c r="W343" s="182"/>
      <c r="X343" s="58"/>
      <c r="Y343" s="58"/>
      <c r="Z343" s="58"/>
      <c r="AA343" s="58"/>
      <c r="AB343" s="58"/>
      <c r="AC343" s="58"/>
    </row>
    <row r="344" spans="1:31" s="1" customFormat="1" ht="29.25" hidden="1" customHeight="1" x14ac:dyDescent="0.2">
      <c r="A344" s="344"/>
      <c r="B344" s="345"/>
      <c r="C344" s="33"/>
      <c r="D344" s="33"/>
      <c r="E344" s="33"/>
      <c r="F344" s="60"/>
      <c r="G344" s="60"/>
      <c r="H344" s="15" t="s">
        <v>20</v>
      </c>
      <c r="I344" s="11"/>
      <c r="J344" s="11"/>
      <c r="K344" s="11"/>
      <c r="L344" s="11"/>
      <c r="M344" s="11"/>
      <c r="N344" s="11"/>
      <c r="O344" s="10"/>
      <c r="P344" s="10"/>
      <c r="Q344" s="33"/>
      <c r="R344" s="33"/>
      <c r="S344" s="33"/>
      <c r="T344" s="33"/>
      <c r="U344" s="33"/>
      <c r="V344" s="33"/>
      <c r="W344" s="199"/>
      <c r="X344" s="58"/>
      <c r="Y344" s="58"/>
      <c r="Z344" s="58"/>
      <c r="AA344" s="58"/>
      <c r="AB344" s="58"/>
      <c r="AC344" s="58"/>
    </row>
    <row r="345" spans="1:31" s="1" customFormat="1" ht="42" hidden="1" customHeight="1" x14ac:dyDescent="0.2">
      <c r="A345" s="344"/>
      <c r="B345" s="345"/>
      <c r="C345" s="33"/>
      <c r="D345" s="33"/>
      <c r="E345" s="33"/>
      <c r="F345" s="60"/>
      <c r="G345" s="60"/>
      <c r="H345" s="15" t="s">
        <v>16</v>
      </c>
      <c r="I345" s="29"/>
      <c r="J345" s="29"/>
      <c r="K345" s="29"/>
      <c r="L345" s="29"/>
      <c r="M345" s="29"/>
      <c r="N345" s="29"/>
      <c r="O345" s="10"/>
      <c r="P345" s="10"/>
      <c r="Q345" s="33"/>
      <c r="R345" s="33"/>
      <c r="S345" s="33"/>
      <c r="T345" s="33"/>
      <c r="U345" s="33"/>
      <c r="V345" s="33"/>
      <c r="W345" s="199"/>
      <c r="X345" s="58"/>
      <c r="Y345" s="58"/>
      <c r="Z345" s="58"/>
      <c r="AA345" s="58"/>
      <c r="AB345" s="58"/>
      <c r="AC345" s="58"/>
    </row>
    <row r="346" spans="1:31" s="1" customFormat="1" ht="178.5" hidden="1" customHeight="1" x14ac:dyDescent="0.2">
      <c r="A346" s="344"/>
      <c r="B346" s="345"/>
      <c r="C346" s="33"/>
      <c r="D346" s="33"/>
      <c r="E346" s="33"/>
      <c r="F346" s="60"/>
      <c r="G346" s="60"/>
      <c r="H346" s="14"/>
      <c r="I346" s="24"/>
      <c r="J346" s="24"/>
      <c r="K346" s="9"/>
      <c r="L346" s="9"/>
      <c r="M346" s="9"/>
      <c r="N346" s="9"/>
      <c r="O346" s="10"/>
      <c r="P346" s="10"/>
      <c r="Q346" s="33"/>
      <c r="R346" s="33"/>
      <c r="S346" s="33"/>
      <c r="T346" s="33"/>
      <c r="U346" s="33"/>
      <c r="V346" s="33"/>
      <c r="W346" s="199"/>
      <c r="X346" s="58"/>
      <c r="Y346" s="58"/>
      <c r="Z346" s="58"/>
      <c r="AA346" s="58"/>
      <c r="AB346" s="58"/>
      <c r="AC346" s="58"/>
    </row>
    <row r="347" spans="1:31" s="1" customFormat="1" ht="52.5" customHeight="1" x14ac:dyDescent="0.2">
      <c r="A347" s="346" t="s">
        <v>74</v>
      </c>
      <c r="B347" s="275" t="s">
        <v>75</v>
      </c>
      <c r="C347" s="33"/>
      <c r="D347" s="33"/>
      <c r="E347" s="33"/>
      <c r="F347" s="60"/>
      <c r="G347" s="60"/>
      <c r="H347" s="15" t="s">
        <v>19</v>
      </c>
      <c r="I347" s="34">
        <f>I349</f>
        <v>1734.9982</v>
      </c>
      <c r="J347" s="46">
        <f>J349</f>
        <v>1734.9982</v>
      </c>
      <c r="K347" s="11"/>
      <c r="L347" s="11"/>
      <c r="M347" s="11"/>
      <c r="N347" s="11"/>
      <c r="O347" s="10"/>
      <c r="P347" s="10"/>
      <c r="Q347" s="33"/>
      <c r="R347" s="33"/>
      <c r="S347" s="33"/>
      <c r="T347" s="33"/>
      <c r="U347" s="33"/>
      <c r="V347" s="33"/>
      <c r="W347" s="252" t="s">
        <v>26</v>
      </c>
      <c r="X347" s="58"/>
      <c r="Y347" s="58"/>
      <c r="Z347" s="58"/>
      <c r="AA347" s="58"/>
      <c r="AB347" s="58"/>
      <c r="AC347" s="58"/>
    </row>
    <row r="348" spans="1:31" s="1" customFormat="1" ht="29.25" customHeight="1" x14ac:dyDescent="0.2">
      <c r="A348" s="347"/>
      <c r="B348" s="276"/>
      <c r="C348" s="33"/>
      <c r="D348" s="33"/>
      <c r="E348" s="33"/>
      <c r="F348" s="60"/>
      <c r="G348" s="60"/>
      <c r="H348" s="15" t="s">
        <v>20</v>
      </c>
      <c r="I348" s="34"/>
      <c r="J348" s="46"/>
      <c r="K348" s="11"/>
      <c r="L348" s="11"/>
      <c r="M348" s="11"/>
      <c r="N348" s="11"/>
      <c r="O348" s="10"/>
      <c r="P348" s="10"/>
      <c r="Q348" s="33"/>
      <c r="R348" s="33"/>
      <c r="S348" s="33"/>
      <c r="T348" s="33"/>
      <c r="U348" s="33"/>
      <c r="V348" s="33"/>
      <c r="W348" s="208"/>
      <c r="X348" s="58"/>
      <c r="Y348" s="58"/>
      <c r="Z348" s="58"/>
      <c r="AA348" s="58"/>
      <c r="AB348" s="58"/>
      <c r="AC348" s="58"/>
    </row>
    <row r="349" spans="1:31" s="1" customFormat="1" ht="28.5" customHeight="1" x14ac:dyDescent="0.2">
      <c r="A349" s="348"/>
      <c r="B349" s="277"/>
      <c r="C349" s="33"/>
      <c r="D349" s="33"/>
      <c r="E349" s="33"/>
      <c r="F349" s="60"/>
      <c r="G349" s="60"/>
      <c r="H349" s="15" t="s">
        <v>16</v>
      </c>
      <c r="I349" s="34">
        <f>J349</f>
        <v>1734.9982</v>
      </c>
      <c r="J349" s="46">
        <f>200.88874+92.99499+1429.3296+11.78487</f>
        <v>1734.9982</v>
      </c>
      <c r="K349" s="9"/>
      <c r="L349" s="9"/>
      <c r="M349" s="9"/>
      <c r="N349" s="9"/>
      <c r="O349" s="10"/>
      <c r="P349" s="10"/>
      <c r="Q349" s="33"/>
      <c r="R349" s="33"/>
      <c r="S349" s="33"/>
      <c r="T349" s="33"/>
      <c r="U349" s="33"/>
      <c r="V349" s="33"/>
      <c r="W349" s="209"/>
      <c r="X349" s="58"/>
      <c r="Y349" s="58"/>
      <c r="Z349" s="58"/>
      <c r="AA349" s="58"/>
      <c r="AB349" s="58"/>
      <c r="AC349" s="58"/>
    </row>
    <row r="350" spans="1:31" s="1" customFormat="1" ht="53.25" customHeight="1" x14ac:dyDescent="0.2">
      <c r="A350" s="346" t="s">
        <v>290</v>
      </c>
      <c r="B350" s="275" t="s">
        <v>289</v>
      </c>
      <c r="C350" s="33"/>
      <c r="D350" s="33"/>
      <c r="E350" s="33"/>
      <c r="F350" s="60"/>
      <c r="G350" s="60"/>
      <c r="H350" s="15" t="s">
        <v>19</v>
      </c>
      <c r="I350" s="34">
        <f t="shared" ref="I350:J352" si="72">I353+I356</f>
        <v>4901.5128299999997</v>
      </c>
      <c r="J350" s="34">
        <f t="shared" si="72"/>
        <v>4901.5128299999997</v>
      </c>
      <c r="K350" s="9"/>
      <c r="L350" s="9"/>
      <c r="M350" s="9"/>
      <c r="N350" s="9"/>
      <c r="O350" s="10"/>
      <c r="P350" s="10"/>
      <c r="Q350" s="33"/>
      <c r="R350" s="33"/>
      <c r="S350" s="33"/>
      <c r="T350" s="33"/>
      <c r="U350" s="33"/>
      <c r="V350" s="33"/>
      <c r="W350" s="357"/>
      <c r="X350" s="58"/>
      <c r="Y350" s="58"/>
      <c r="Z350" s="58"/>
      <c r="AA350" s="58"/>
      <c r="AB350" s="58"/>
      <c r="AC350" s="58"/>
    </row>
    <row r="351" spans="1:31" s="1" customFormat="1" ht="28.5" customHeight="1" x14ac:dyDescent="0.2">
      <c r="A351" s="347"/>
      <c r="B351" s="276"/>
      <c r="C351" s="33"/>
      <c r="D351" s="33"/>
      <c r="E351" s="33"/>
      <c r="F351" s="60"/>
      <c r="G351" s="60"/>
      <c r="H351" s="15" t="s">
        <v>20</v>
      </c>
      <c r="I351" s="34">
        <f t="shared" si="72"/>
        <v>4852.4976999999999</v>
      </c>
      <c r="J351" s="34">
        <f t="shared" si="72"/>
        <v>4852.4976999999999</v>
      </c>
      <c r="K351" s="9"/>
      <c r="L351" s="9"/>
      <c r="M351" s="9"/>
      <c r="N351" s="9"/>
      <c r="O351" s="10"/>
      <c r="P351" s="10"/>
      <c r="Q351" s="33"/>
      <c r="R351" s="33"/>
      <c r="S351" s="33"/>
      <c r="T351" s="33"/>
      <c r="U351" s="33"/>
      <c r="V351" s="33"/>
      <c r="W351" s="196"/>
      <c r="X351" s="58"/>
      <c r="Y351" s="58"/>
      <c r="Z351" s="58"/>
      <c r="AA351" s="58"/>
      <c r="AB351" s="58"/>
      <c r="AC351" s="58"/>
    </row>
    <row r="352" spans="1:31" s="1" customFormat="1" ht="28.5" customHeight="1" x14ac:dyDescent="0.2">
      <c r="A352" s="348"/>
      <c r="B352" s="277"/>
      <c r="C352" s="33"/>
      <c r="D352" s="33"/>
      <c r="E352" s="33"/>
      <c r="F352" s="60"/>
      <c r="G352" s="60"/>
      <c r="H352" s="15" t="s">
        <v>16</v>
      </c>
      <c r="I352" s="34">
        <f t="shared" si="72"/>
        <v>49.015129999999999</v>
      </c>
      <c r="J352" s="34">
        <f t="shared" si="72"/>
        <v>49.015129999999999</v>
      </c>
      <c r="K352" s="9"/>
      <c r="L352" s="9"/>
      <c r="M352" s="9"/>
      <c r="N352" s="9"/>
      <c r="O352" s="10"/>
      <c r="P352" s="10"/>
      <c r="Q352" s="33"/>
      <c r="R352" s="33"/>
      <c r="S352" s="33"/>
      <c r="T352" s="33"/>
      <c r="U352" s="33"/>
      <c r="V352" s="33"/>
      <c r="W352" s="217"/>
      <c r="X352" s="58"/>
      <c r="Y352" s="58"/>
      <c r="Z352" s="58"/>
      <c r="AA352" s="58"/>
      <c r="AB352" s="58"/>
      <c r="AC352" s="58"/>
    </row>
    <row r="353" spans="1:29" s="1" customFormat="1" ht="28.5" customHeight="1" x14ac:dyDescent="0.2">
      <c r="A353" s="134"/>
      <c r="B353" s="233" t="s">
        <v>287</v>
      </c>
      <c r="C353" s="73"/>
      <c r="D353" s="73"/>
      <c r="E353" s="73"/>
      <c r="F353" s="73"/>
      <c r="G353" s="74"/>
      <c r="H353" s="75" t="s">
        <v>19</v>
      </c>
      <c r="I353" s="44">
        <f t="shared" ref="I353:I358" si="73">J353</f>
        <v>2341.1232199999999</v>
      </c>
      <c r="J353" s="44">
        <f>J354+J355</f>
        <v>2341.1232199999999</v>
      </c>
      <c r="K353" s="44"/>
      <c r="L353" s="44"/>
      <c r="M353" s="44"/>
      <c r="N353" s="44"/>
      <c r="O353" s="58"/>
      <c r="Q353" s="58"/>
      <c r="R353" s="58"/>
      <c r="S353" s="58"/>
      <c r="T353" s="58"/>
      <c r="U353" s="58"/>
      <c r="V353" s="58"/>
      <c r="W353" s="200" t="s">
        <v>26</v>
      </c>
      <c r="X353" s="58"/>
      <c r="Y353" s="58"/>
      <c r="Z353" s="58"/>
      <c r="AA353" s="58"/>
      <c r="AB353" s="58"/>
      <c r="AC353" s="58"/>
    </row>
    <row r="354" spans="1:29" s="1" customFormat="1" ht="28.5" customHeight="1" x14ac:dyDescent="0.2">
      <c r="A354" s="78" t="s">
        <v>291</v>
      </c>
      <c r="B354" s="234"/>
      <c r="C354" s="73"/>
      <c r="D354" s="73"/>
      <c r="E354" s="73"/>
      <c r="F354" s="73"/>
      <c r="G354" s="74"/>
      <c r="H354" s="75" t="s">
        <v>20</v>
      </c>
      <c r="I354" s="44">
        <f t="shared" si="73"/>
        <v>2317.7119899999998</v>
      </c>
      <c r="J354" s="44">
        <v>2317.7119899999998</v>
      </c>
      <c r="K354" s="44"/>
      <c r="L354" s="44"/>
      <c r="M354" s="44"/>
      <c r="N354" s="44"/>
      <c r="O354" s="58"/>
      <c r="Q354" s="58"/>
      <c r="R354" s="58"/>
      <c r="S354" s="58"/>
      <c r="T354" s="58"/>
      <c r="U354" s="58"/>
      <c r="V354" s="58"/>
      <c r="W354" s="196"/>
      <c r="X354" s="58"/>
      <c r="Y354" s="58"/>
      <c r="Z354" s="58"/>
      <c r="AA354" s="58"/>
      <c r="AB354" s="58"/>
      <c r="AC354" s="58"/>
    </row>
    <row r="355" spans="1:29" s="1" customFormat="1" ht="28.5" customHeight="1" x14ac:dyDescent="0.2">
      <c r="A355" s="79"/>
      <c r="B355" s="235"/>
      <c r="C355" s="73"/>
      <c r="D355" s="73"/>
      <c r="E355" s="73"/>
      <c r="F355" s="73"/>
      <c r="G355" s="74"/>
      <c r="H355" s="75" t="s">
        <v>208</v>
      </c>
      <c r="I355" s="44">
        <f t="shared" si="73"/>
        <v>23.41123</v>
      </c>
      <c r="J355" s="44">
        <v>23.41123</v>
      </c>
      <c r="K355" s="44"/>
      <c r="L355" s="44"/>
      <c r="M355" s="44"/>
      <c r="N355" s="44"/>
      <c r="O355" s="58"/>
      <c r="Q355" s="58"/>
      <c r="R355" s="58"/>
      <c r="S355" s="58"/>
      <c r="T355" s="58"/>
      <c r="U355" s="58"/>
      <c r="V355" s="58"/>
      <c r="W355" s="217"/>
      <c r="X355" s="58"/>
      <c r="Y355" s="58"/>
      <c r="Z355" s="58"/>
      <c r="AA355" s="58"/>
      <c r="AB355" s="58"/>
      <c r="AC355" s="58"/>
    </row>
    <row r="356" spans="1:29" s="1" customFormat="1" ht="28.5" customHeight="1" x14ac:dyDescent="0.2">
      <c r="A356" s="78"/>
      <c r="B356" s="233" t="s">
        <v>288</v>
      </c>
      <c r="C356" s="73"/>
      <c r="D356" s="73"/>
      <c r="E356" s="73"/>
      <c r="F356" s="73"/>
      <c r="G356" s="74"/>
      <c r="H356" s="75" t="s">
        <v>19</v>
      </c>
      <c r="I356" s="44">
        <f t="shared" si="73"/>
        <v>2560.3896100000002</v>
      </c>
      <c r="J356" s="44">
        <f>J357+J358</f>
        <v>2560.3896100000002</v>
      </c>
      <c r="K356" s="44"/>
      <c r="L356" s="44"/>
      <c r="M356" s="44"/>
      <c r="N356" s="44"/>
      <c r="O356" s="58"/>
      <c r="Q356" s="58"/>
      <c r="R356" s="58"/>
      <c r="S356" s="58"/>
      <c r="T356" s="58"/>
      <c r="U356" s="58"/>
      <c r="V356" s="58"/>
      <c r="W356" s="200" t="s">
        <v>26</v>
      </c>
      <c r="X356" s="58"/>
      <c r="Y356" s="58"/>
      <c r="Z356" s="58"/>
      <c r="AA356" s="58"/>
      <c r="AB356" s="58"/>
      <c r="AC356" s="58"/>
    </row>
    <row r="357" spans="1:29" s="1" customFormat="1" ht="28.5" customHeight="1" x14ac:dyDescent="0.2">
      <c r="A357" s="78" t="s">
        <v>292</v>
      </c>
      <c r="B357" s="234"/>
      <c r="C357" s="73"/>
      <c r="D357" s="73"/>
      <c r="E357" s="73"/>
      <c r="F357" s="73"/>
      <c r="G357" s="74"/>
      <c r="H357" s="75" t="s">
        <v>20</v>
      </c>
      <c r="I357" s="44">
        <f t="shared" si="73"/>
        <v>2534.7857100000001</v>
      </c>
      <c r="J357" s="44">
        <v>2534.7857100000001</v>
      </c>
      <c r="K357" s="44"/>
      <c r="L357" s="44"/>
      <c r="M357" s="44"/>
      <c r="N357" s="44"/>
      <c r="O357" s="58"/>
      <c r="Q357" s="58"/>
      <c r="R357" s="58"/>
      <c r="S357" s="58"/>
      <c r="T357" s="58"/>
      <c r="U357" s="58"/>
      <c r="V357" s="58"/>
      <c r="W357" s="236"/>
      <c r="X357" s="58"/>
      <c r="Y357" s="58"/>
      <c r="Z357" s="58"/>
      <c r="AA357" s="58"/>
      <c r="AB357" s="58"/>
      <c r="AC357" s="58"/>
    </row>
    <row r="358" spans="1:29" s="1" customFormat="1" ht="30.75" customHeight="1" x14ac:dyDescent="0.2">
      <c r="A358" s="135"/>
      <c r="B358" s="235"/>
      <c r="C358" s="73"/>
      <c r="D358" s="73"/>
      <c r="E358" s="73"/>
      <c r="F358" s="73"/>
      <c r="G358" s="74"/>
      <c r="H358" s="75" t="s">
        <v>208</v>
      </c>
      <c r="I358" s="44">
        <f t="shared" si="73"/>
        <v>25.603899999999999</v>
      </c>
      <c r="J358" s="44">
        <v>25.603899999999999</v>
      </c>
      <c r="K358" s="44"/>
      <c r="L358" s="44"/>
      <c r="M358" s="44"/>
      <c r="N358" s="44"/>
      <c r="O358" s="58"/>
      <c r="Q358" s="58"/>
      <c r="R358" s="58"/>
      <c r="S358" s="58"/>
      <c r="T358" s="58"/>
      <c r="U358" s="58"/>
      <c r="V358" s="58"/>
      <c r="W358" s="207"/>
      <c r="X358" s="58"/>
      <c r="Y358" s="58"/>
      <c r="Z358" s="58"/>
      <c r="AA358" s="58"/>
      <c r="AB358" s="58"/>
      <c r="AC358" s="58"/>
    </row>
    <row r="359" spans="1:29" s="1" customFormat="1" ht="63.75" customHeight="1" x14ac:dyDescent="0.2">
      <c r="A359" s="133" t="s">
        <v>76</v>
      </c>
      <c r="B359" s="115" t="s">
        <v>264</v>
      </c>
      <c r="C359" s="33"/>
      <c r="D359" s="33"/>
      <c r="E359" s="33"/>
      <c r="F359" s="60"/>
      <c r="G359" s="60"/>
      <c r="H359" s="15" t="s">
        <v>16</v>
      </c>
      <c r="I359" s="46">
        <f>I389+I361+I413</f>
        <v>7492.7382000000007</v>
      </c>
      <c r="J359" s="46">
        <f>J389+J361+J413</f>
        <v>1692.7382</v>
      </c>
      <c r="K359" s="46">
        <f>K389+K361+K407</f>
        <v>1450</v>
      </c>
      <c r="L359" s="46">
        <f>L389+L361+L407</f>
        <v>1450</v>
      </c>
      <c r="M359" s="46">
        <f>M389+M361+M407</f>
        <v>1450</v>
      </c>
      <c r="N359" s="46">
        <f>N389+N361+N407</f>
        <v>1450</v>
      </c>
      <c r="O359" s="10"/>
      <c r="P359" s="10"/>
      <c r="Q359" s="33"/>
      <c r="R359" s="33"/>
      <c r="S359" s="33"/>
      <c r="T359" s="33"/>
      <c r="U359" s="33"/>
      <c r="V359" s="33"/>
      <c r="W359" s="41"/>
      <c r="X359" s="58"/>
      <c r="Y359" s="58"/>
      <c r="Z359" s="58"/>
      <c r="AA359" s="58"/>
      <c r="AB359" s="58"/>
      <c r="AC359" s="58"/>
    </row>
    <row r="360" spans="1:29" s="1" customFormat="1" ht="81" customHeight="1" x14ac:dyDescent="0.2">
      <c r="A360" s="133" t="s">
        <v>77</v>
      </c>
      <c r="B360" s="179" t="s">
        <v>79</v>
      </c>
      <c r="C360" s="33"/>
      <c r="D360" s="33"/>
      <c r="E360" s="33"/>
      <c r="F360" s="60"/>
      <c r="G360" s="60"/>
      <c r="H360" s="15" t="s">
        <v>16</v>
      </c>
      <c r="I360" s="46">
        <f t="shared" ref="I360:N360" si="74">I361+I389+I413</f>
        <v>7492.7382000000007</v>
      </c>
      <c r="J360" s="94">
        <f t="shared" si="74"/>
        <v>1692.7382</v>
      </c>
      <c r="K360" s="46">
        <f t="shared" si="74"/>
        <v>1450</v>
      </c>
      <c r="L360" s="46">
        <f t="shared" si="74"/>
        <v>1450</v>
      </c>
      <c r="M360" s="46">
        <f t="shared" si="74"/>
        <v>1450</v>
      </c>
      <c r="N360" s="46">
        <f t="shared" si="74"/>
        <v>1450</v>
      </c>
      <c r="O360" s="10"/>
      <c r="P360" s="10"/>
      <c r="Q360" s="33"/>
      <c r="R360" s="33"/>
      <c r="S360" s="33"/>
      <c r="T360" s="33"/>
      <c r="U360" s="33"/>
      <c r="V360" s="33"/>
      <c r="W360" s="113"/>
      <c r="X360" s="58"/>
      <c r="Y360" s="58"/>
      <c r="Z360" s="58"/>
      <c r="AA360" s="58"/>
      <c r="AB360" s="58"/>
      <c r="AC360" s="58"/>
    </row>
    <row r="361" spans="1:29" s="1" customFormat="1" ht="74.25" customHeight="1" x14ac:dyDescent="0.2">
      <c r="A361" s="133" t="s">
        <v>78</v>
      </c>
      <c r="B361" s="180" t="s">
        <v>331</v>
      </c>
      <c r="C361" s="33"/>
      <c r="D361" s="33"/>
      <c r="E361" s="33"/>
      <c r="F361" s="60"/>
      <c r="G361" s="60"/>
      <c r="H361" s="15" t="s">
        <v>16</v>
      </c>
      <c r="I361" s="46">
        <f t="shared" ref="I361:N361" si="75">I362+I367+I372+I377+I382+I385+I387</f>
        <v>5071.7382000000007</v>
      </c>
      <c r="J361" s="94">
        <f t="shared" si="75"/>
        <v>1692.7382</v>
      </c>
      <c r="K361" s="46">
        <f t="shared" si="75"/>
        <v>724</v>
      </c>
      <c r="L361" s="46">
        <f t="shared" si="75"/>
        <v>755</v>
      </c>
      <c r="M361" s="46">
        <f t="shared" si="75"/>
        <v>820</v>
      </c>
      <c r="N361" s="46">
        <f t="shared" si="75"/>
        <v>1080</v>
      </c>
      <c r="O361" s="10"/>
      <c r="P361" s="10"/>
      <c r="Q361" s="33"/>
      <c r="R361" s="33"/>
      <c r="S361" s="33"/>
      <c r="T361" s="33"/>
      <c r="U361" s="33"/>
      <c r="V361" s="33"/>
      <c r="W361" s="113"/>
      <c r="X361" s="58"/>
      <c r="Y361" s="58"/>
      <c r="Z361" s="58"/>
      <c r="AA361" s="58"/>
      <c r="AB361" s="58"/>
      <c r="AC361" s="58"/>
    </row>
    <row r="362" spans="1:29" s="1" customFormat="1" ht="79.5" customHeight="1" x14ac:dyDescent="0.2">
      <c r="A362" s="133" t="s">
        <v>80</v>
      </c>
      <c r="B362" s="181" t="s">
        <v>318</v>
      </c>
      <c r="C362" s="33"/>
      <c r="D362" s="33"/>
      <c r="E362" s="33"/>
      <c r="F362" s="60"/>
      <c r="G362" s="60"/>
      <c r="H362" s="15" t="s">
        <v>16</v>
      </c>
      <c r="I362" s="34">
        <f>I363+I364+I365+I366</f>
        <v>1139.5966100000001</v>
      </c>
      <c r="J362" s="34">
        <f t="shared" ref="J362:N362" si="76">J363+J364+J365+J366</f>
        <v>466.59660999999994</v>
      </c>
      <c r="K362" s="34">
        <f t="shared" si="76"/>
        <v>98</v>
      </c>
      <c r="L362" s="34">
        <f t="shared" si="76"/>
        <v>147</v>
      </c>
      <c r="M362" s="34">
        <f t="shared" si="76"/>
        <v>180</v>
      </c>
      <c r="N362" s="34">
        <f t="shared" si="76"/>
        <v>248</v>
      </c>
      <c r="O362" s="10"/>
      <c r="P362" s="10"/>
      <c r="Q362" s="33"/>
      <c r="R362" s="33"/>
      <c r="S362" s="33"/>
      <c r="T362" s="33"/>
      <c r="U362" s="33"/>
      <c r="V362" s="33"/>
      <c r="W362" s="113"/>
      <c r="X362" s="58"/>
      <c r="Y362" s="58"/>
      <c r="Z362" s="58"/>
      <c r="AA362" s="58"/>
      <c r="AB362" s="58"/>
      <c r="AC362" s="58"/>
    </row>
    <row r="363" spans="1:29" s="1" customFormat="1" ht="81.75" customHeight="1" x14ac:dyDescent="0.2">
      <c r="A363" s="8" t="s">
        <v>190</v>
      </c>
      <c r="B363" s="61" t="s">
        <v>337</v>
      </c>
      <c r="C363" s="6"/>
      <c r="D363" s="6"/>
      <c r="E363" s="6"/>
      <c r="F363" s="8"/>
      <c r="G363" s="8"/>
      <c r="H363" s="35" t="s">
        <v>16</v>
      </c>
      <c r="I363" s="24">
        <f>J363+K363+L363+M363+N363</f>
        <v>673</v>
      </c>
      <c r="J363" s="71"/>
      <c r="K363" s="29">
        <v>98</v>
      </c>
      <c r="L363" s="29">
        <v>147</v>
      </c>
      <c r="M363" s="29">
        <v>180</v>
      </c>
      <c r="N363" s="29">
        <v>248</v>
      </c>
      <c r="O363" s="10"/>
      <c r="P363" s="10"/>
      <c r="Q363" s="33"/>
      <c r="R363" s="33"/>
      <c r="S363" s="33"/>
      <c r="T363" s="33"/>
      <c r="U363" s="33"/>
      <c r="V363" s="33"/>
      <c r="W363" s="252" t="s">
        <v>26</v>
      </c>
      <c r="X363" s="58"/>
      <c r="Y363" s="58"/>
      <c r="Z363" s="58"/>
      <c r="AA363" s="58"/>
      <c r="AB363" s="58"/>
      <c r="AC363" s="58"/>
    </row>
    <row r="364" spans="1:29" s="1" customFormat="1" ht="81.75" customHeight="1" x14ac:dyDescent="0.2">
      <c r="A364" s="8" t="s">
        <v>191</v>
      </c>
      <c r="B364" s="61" t="s">
        <v>338</v>
      </c>
      <c r="C364" s="6"/>
      <c r="D364" s="6"/>
      <c r="E364" s="6"/>
      <c r="F364" s="8"/>
      <c r="G364" s="8"/>
      <c r="H364" s="35" t="s">
        <v>16</v>
      </c>
      <c r="I364" s="24">
        <f>J364</f>
        <v>232.50121999999999</v>
      </c>
      <c r="J364" s="71">
        <v>232.50121999999999</v>
      </c>
      <c r="K364" s="29"/>
      <c r="L364" s="29"/>
      <c r="M364" s="29"/>
      <c r="N364" s="29"/>
      <c r="O364" s="10"/>
      <c r="P364" s="10"/>
      <c r="Q364" s="33"/>
      <c r="R364" s="33"/>
      <c r="S364" s="33"/>
      <c r="T364" s="33"/>
      <c r="U364" s="33"/>
      <c r="V364" s="33"/>
      <c r="W364" s="208"/>
      <c r="X364" s="58"/>
      <c r="Y364" s="58"/>
      <c r="Z364" s="58"/>
      <c r="AA364" s="58"/>
      <c r="AB364" s="58"/>
      <c r="AC364" s="58"/>
    </row>
    <row r="365" spans="1:29" s="1" customFormat="1" ht="78.75" customHeight="1" x14ac:dyDescent="0.2">
      <c r="A365" s="8" t="s">
        <v>267</v>
      </c>
      <c r="B365" s="61" t="s">
        <v>268</v>
      </c>
      <c r="C365" s="33"/>
      <c r="D365" s="33"/>
      <c r="E365" s="33"/>
      <c r="F365" s="60"/>
      <c r="G365" s="60"/>
      <c r="H365" s="26" t="s">
        <v>16</v>
      </c>
      <c r="I365" s="24">
        <f>J365</f>
        <v>183.65977000000001</v>
      </c>
      <c r="J365" s="71">
        <v>183.65977000000001</v>
      </c>
      <c r="K365" s="29"/>
      <c r="L365" s="29"/>
      <c r="M365" s="29"/>
      <c r="N365" s="29"/>
      <c r="O365" s="10"/>
      <c r="P365" s="10"/>
      <c r="Q365" s="33"/>
      <c r="R365" s="33"/>
      <c r="S365" s="33"/>
      <c r="T365" s="33"/>
      <c r="U365" s="33"/>
      <c r="V365" s="33"/>
      <c r="W365" s="217"/>
      <c r="X365" s="58"/>
      <c r="Y365" s="58"/>
      <c r="Z365" s="58"/>
      <c r="AA365" s="58"/>
      <c r="AB365" s="58"/>
      <c r="AC365" s="58"/>
    </row>
    <row r="366" spans="1:29" s="1" customFormat="1" ht="123.75" customHeight="1" x14ac:dyDescent="0.2">
      <c r="A366" s="8" t="s">
        <v>306</v>
      </c>
      <c r="B366" s="61" t="s">
        <v>274</v>
      </c>
      <c r="C366" s="33"/>
      <c r="D366" s="33"/>
      <c r="E366" s="33"/>
      <c r="F366" s="60"/>
      <c r="G366" s="60"/>
      <c r="H366" s="35" t="s">
        <v>16</v>
      </c>
      <c r="I366" s="24">
        <f>J366</f>
        <v>50.43562</v>
      </c>
      <c r="J366" s="71">
        <v>50.43562</v>
      </c>
      <c r="K366" s="24"/>
      <c r="L366" s="24"/>
      <c r="M366" s="24"/>
      <c r="N366" s="24"/>
      <c r="O366" s="10"/>
      <c r="P366" s="10"/>
      <c r="Q366" s="33"/>
      <c r="R366" s="33"/>
      <c r="S366" s="33"/>
      <c r="T366" s="33"/>
      <c r="U366" s="33"/>
      <c r="V366" s="33"/>
      <c r="W366" s="42" t="s">
        <v>273</v>
      </c>
      <c r="X366" s="58"/>
      <c r="Y366" s="58"/>
      <c r="Z366" s="58"/>
      <c r="AA366" s="58"/>
      <c r="AB366" s="58"/>
      <c r="AC366" s="58"/>
    </row>
    <row r="367" spans="1:29" s="1" customFormat="1" ht="79.5" customHeight="1" x14ac:dyDescent="0.2">
      <c r="A367" s="133" t="s">
        <v>81</v>
      </c>
      <c r="B367" s="140" t="s">
        <v>319</v>
      </c>
      <c r="C367" s="33"/>
      <c r="D367" s="33"/>
      <c r="E367" s="33"/>
      <c r="F367" s="60"/>
      <c r="G367" s="60"/>
      <c r="H367" s="15" t="s">
        <v>16</v>
      </c>
      <c r="I367" s="34">
        <f>I368+I369+I370+I371</f>
        <v>787.86752999999999</v>
      </c>
      <c r="J367" s="34">
        <f t="shared" ref="J367:N367" si="77">J368+J369+J370+J371</f>
        <v>138.86752999999999</v>
      </c>
      <c r="K367" s="34">
        <f t="shared" si="77"/>
        <v>78</v>
      </c>
      <c r="L367" s="34">
        <f t="shared" si="77"/>
        <v>153</v>
      </c>
      <c r="M367" s="34">
        <f t="shared" si="77"/>
        <v>173</v>
      </c>
      <c r="N367" s="34">
        <f t="shared" si="77"/>
        <v>245</v>
      </c>
      <c r="O367" s="10"/>
      <c r="P367" s="10"/>
      <c r="Q367" s="33"/>
      <c r="R367" s="33"/>
      <c r="S367" s="33"/>
      <c r="T367" s="33"/>
      <c r="U367" s="33"/>
      <c r="V367" s="33"/>
      <c r="W367" s="113"/>
      <c r="X367" s="58"/>
      <c r="Y367" s="58"/>
      <c r="Z367" s="58"/>
      <c r="AA367" s="58"/>
      <c r="AB367" s="58"/>
      <c r="AC367" s="58"/>
    </row>
    <row r="368" spans="1:29" s="1" customFormat="1" ht="72.75" customHeight="1" x14ac:dyDescent="0.2">
      <c r="A368" s="8" t="s">
        <v>192</v>
      </c>
      <c r="B368" s="61" t="s">
        <v>314</v>
      </c>
      <c r="C368" s="6"/>
      <c r="D368" s="6"/>
      <c r="E368" s="6"/>
      <c r="F368" s="8"/>
      <c r="G368" s="8"/>
      <c r="H368" s="35" t="s">
        <v>16</v>
      </c>
      <c r="I368" s="24">
        <f>J368</f>
        <v>43.150730000000003</v>
      </c>
      <c r="J368" s="71">
        <v>43.150730000000003</v>
      </c>
      <c r="K368" s="10"/>
      <c r="L368" s="10"/>
      <c r="M368" s="10"/>
      <c r="N368" s="29"/>
      <c r="O368" s="10"/>
      <c r="P368" s="10"/>
      <c r="Q368" s="33"/>
      <c r="R368" s="33"/>
      <c r="S368" s="33"/>
      <c r="T368" s="33"/>
      <c r="U368" s="33"/>
      <c r="V368" s="33"/>
      <c r="W368" s="108" t="s">
        <v>26</v>
      </c>
      <c r="X368" s="58"/>
      <c r="Y368" s="58"/>
      <c r="Z368" s="58"/>
      <c r="AA368" s="58"/>
      <c r="AB368" s="58"/>
      <c r="AC368" s="58"/>
    </row>
    <row r="369" spans="1:29" s="1" customFormat="1" ht="83.25" customHeight="1" x14ac:dyDescent="0.2">
      <c r="A369" s="8" t="s">
        <v>275</v>
      </c>
      <c r="B369" s="61" t="s">
        <v>317</v>
      </c>
      <c r="C369" s="6"/>
      <c r="D369" s="6"/>
      <c r="E369" s="6"/>
      <c r="F369" s="8"/>
      <c r="G369" s="8"/>
      <c r="H369" s="35" t="s">
        <v>16</v>
      </c>
      <c r="I369" s="24">
        <f>K369+L369+M369+N369</f>
        <v>649</v>
      </c>
      <c r="J369" s="71"/>
      <c r="K369" s="29">
        <v>78</v>
      </c>
      <c r="L369" s="29">
        <f>105+48</f>
        <v>153</v>
      </c>
      <c r="M369" s="29">
        <f>125+48</f>
        <v>173</v>
      </c>
      <c r="N369" s="29">
        <f>135+110</f>
        <v>245</v>
      </c>
      <c r="O369" s="10"/>
      <c r="P369" s="10"/>
      <c r="Q369" s="33"/>
      <c r="R369" s="33"/>
      <c r="S369" s="33"/>
      <c r="T369" s="33"/>
      <c r="U369" s="33"/>
      <c r="V369" s="33"/>
      <c r="W369" s="137" t="s">
        <v>26</v>
      </c>
      <c r="X369" s="58"/>
      <c r="Y369" s="58"/>
      <c r="Z369" s="58"/>
      <c r="AA369" s="58"/>
      <c r="AB369" s="58"/>
      <c r="AC369" s="58"/>
    </row>
    <row r="370" spans="1:29" s="1" customFormat="1" ht="81.75" customHeight="1" x14ac:dyDescent="0.2">
      <c r="A370" s="8" t="s">
        <v>313</v>
      </c>
      <c r="B370" s="61" t="s">
        <v>276</v>
      </c>
      <c r="C370" s="6"/>
      <c r="D370" s="6"/>
      <c r="E370" s="6"/>
      <c r="F370" s="8"/>
      <c r="G370" s="8"/>
      <c r="H370" s="35" t="s">
        <v>16</v>
      </c>
      <c r="I370" s="24">
        <f>J370</f>
        <v>76.646609999999995</v>
      </c>
      <c r="J370" s="71">
        <v>76.646609999999995</v>
      </c>
      <c r="K370" s="29"/>
      <c r="L370" s="29"/>
      <c r="M370" s="29"/>
      <c r="N370" s="29"/>
      <c r="O370" s="10"/>
      <c r="P370" s="10"/>
      <c r="Q370" s="33"/>
      <c r="R370" s="33"/>
      <c r="S370" s="33"/>
      <c r="T370" s="33"/>
      <c r="U370" s="33"/>
      <c r="V370" s="33"/>
      <c r="W370" s="108" t="s">
        <v>26</v>
      </c>
      <c r="X370" s="58"/>
      <c r="Y370" s="58"/>
      <c r="Z370" s="58"/>
      <c r="AA370" s="58"/>
      <c r="AB370" s="58"/>
      <c r="AC370" s="58"/>
    </row>
    <row r="371" spans="1:29" s="1" customFormat="1" ht="75.75" customHeight="1" x14ac:dyDescent="0.2">
      <c r="A371" s="8" t="s">
        <v>315</v>
      </c>
      <c r="B371" s="61" t="s">
        <v>281</v>
      </c>
      <c r="C371" s="33"/>
      <c r="D371" s="33"/>
      <c r="E371" s="33"/>
      <c r="F371" s="60"/>
      <c r="G371" s="60"/>
      <c r="H371" s="35" t="s">
        <v>16</v>
      </c>
      <c r="I371" s="24">
        <f>J371</f>
        <v>19.07019</v>
      </c>
      <c r="J371" s="71">
        <v>19.07019</v>
      </c>
      <c r="K371" s="24"/>
      <c r="L371" s="24"/>
      <c r="M371" s="24"/>
      <c r="N371" s="24"/>
      <c r="O371" s="10"/>
      <c r="P371" s="10"/>
      <c r="Q371" s="33"/>
      <c r="R371" s="33"/>
      <c r="S371" s="33"/>
      <c r="T371" s="33"/>
      <c r="U371" s="33"/>
      <c r="V371" s="33"/>
      <c r="W371" s="42" t="s">
        <v>26</v>
      </c>
      <c r="X371" s="58"/>
      <c r="Y371" s="58"/>
      <c r="Z371" s="58"/>
      <c r="AA371" s="58"/>
      <c r="AB371" s="58"/>
      <c r="AC371" s="58"/>
    </row>
    <row r="372" spans="1:29" s="1" customFormat="1" ht="86.25" customHeight="1" x14ac:dyDescent="0.2">
      <c r="A372" s="133" t="s">
        <v>82</v>
      </c>
      <c r="B372" s="140" t="s">
        <v>320</v>
      </c>
      <c r="C372" s="5"/>
      <c r="D372" s="5"/>
      <c r="E372" s="5"/>
      <c r="F372" s="133"/>
      <c r="G372" s="133"/>
      <c r="H372" s="15" t="s">
        <v>16</v>
      </c>
      <c r="I372" s="34">
        <f>I373+I374+I375+I376</f>
        <v>642.92801000000009</v>
      </c>
      <c r="J372" s="94">
        <f>J373+J375+J376</f>
        <v>187.92800999999997</v>
      </c>
      <c r="K372" s="34">
        <f>K373+K374</f>
        <v>58</v>
      </c>
      <c r="L372" s="34">
        <f>L373+L374</f>
        <v>118</v>
      </c>
      <c r="M372" s="34">
        <f>M373+M374</f>
        <v>124</v>
      </c>
      <c r="N372" s="34">
        <f>N373+N374</f>
        <v>155</v>
      </c>
      <c r="O372" s="10"/>
      <c r="P372" s="10"/>
      <c r="Q372" s="33"/>
      <c r="R372" s="33"/>
      <c r="S372" s="33"/>
      <c r="T372" s="33"/>
      <c r="U372" s="33"/>
      <c r="V372" s="33"/>
      <c r="W372" s="113"/>
      <c r="X372" s="58"/>
      <c r="Y372" s="58"/>
      <c r="Z372" s="58"/>
      <c r="AA372" s="58"/>
      <c r="AB372" s="58"/>
      <c r="AC372" s="58"/>
    </row>
    <row r="373" spans="1:29" s="1" customFormat="1" ht="75" customHeight="1" x14ac:dyDescent="0.2">
      <c r="A373" s="8" t="s">
        <v>193</v>
      </c>
      <c r="B373" s="61" t="s">
        <v>305</v>
      </c>
      <c r="C373" s="33"/>
      <c r="D373" s="33"/>
      <c r="E373" s="33"/>
      <c r="F373" s="60"/>
      <c r="G373" s="60"/>
      <c r="H373" s="35" t="s">
        <v>16</v>
      </c>
      <c r="I373" s="24">
        <f>J373+K373+L373+M373+N373</f>
        <v>54.187179999999998</v>
      </c>
      <c r="J373" s="71">
        <v>54.187179999999998</v>
      </c>
      <c r="K373" s="29"/>
      <c r="L373" s="29"/>
      <c r="M373" s="29"/>
      <c r="N373" s="29"/>
      <c r="O373" s="10"/>
      <c r="P373" s="10"/>
      <c r="Q373" s="33"/>
      <c r="R373" s="33"/>
      <c r="S373" s="33"/>
      <c r="T373" s="33"/>
      <c r="U373" s="33"/>
      <c r="V373" s="33"/>
      <c r="W373" s="108" t="s">
        <v>26</v>
      </c>
      <c r="X373" s="58"/>
      <c r="Y373" s="58"/>
      <c r="Z373" s="58"/>
      <c r="AA373" s="58"/>
      <c r="AB373" s="58"/>
      <c r="AC373" s="58"/>
    </row>
    <row r="374" spans="1:29" s="1" customFormat="1" ht="83.25" customHeight="1" x14ac:dyDescent="0.2">
      <c r="A374" s="8" t="s">
        <v>282</v>
      </c>
      <c r="B374" s="61" t="s">
        <v>312</v>
      </c>
      <c r="C374" s="33"/>
      <c r="D374" s="33"/>
      <c r="E374" s="33"/>
      <c r="F374" s="60"/>
      <c r="G374" s="60"/>
      <c r="H374" s="35" t="s">
        <v>16</v>
      </c>
      <c r="I374" s="24">
        <f>J374+K374+L374+M374+N374</f>
        <v>455</v>
      </c>
      <c r="J374" s="71"/>
      <c r="K374" s="9">
        <v>58</v>
      </c>
      <c r="L374" s="9">
        <f>20+98</f>
        <v>118</v>
      </c>
      <c r="M374" s="9">
        <f>20+104</f>
        <v>124</v>
      </c>
      <c r="N374" s="9">
        <f>45+110</f>
        <v>155</v>
      </c>
      <c r="O374" s="10"/>
      <c r="P374" s="10"/>
      <c r="Q374" s="33"/>
      <c r="R374" s="33"/>
      <c r="S374" s="33"/>
      <c r="T374" s="33"/>
      <c r="U374" s="33"/>
      <c r="V374" s="33"/>
      <c r="W374" s="139" t="s">
        <v>26</v>
      </c>
      <c r="X374" s="58"/>
      <c r="Y374" s="58"/>
      <c r="Z374" s="58"/>
      <c r="AA374" s="58"/>
      <c r="AB374" s="58"/>
      <c r="AC374" s="58"/>
    </row>
    <row r="375" spans="1:29" s="1" customFormat="1" ht="81" customHeight="1" x14ac:dyDescent="0.2">
      <c r="A375" s="8" t="s">
        <v>310</v>
      </c>
      <c r="B375" s="61" t="s">
        <v>283</v>
      </c>
      <c r="C375" s="33"/>
      <c r="D375" s="33"/>
      <c r="E375" s="33"/>
      <c r="F375" s="60"/>
      <c r="G375" s="60"/>
      <c r="H375" s="35" t="s">
        <v>16</v>
      </c>
      <c r="I375" s="24">
        <f>J375</f>
        <v>103.12535</v>
      </c>
      <c r="J375" s="71">
        <v>103.12535</v>
      </c>
      <c r="K375" s="29"/>
      <c r="L375" s="29"/>
      <c r="M375" s="29"/>
      <c r="N375" s="29"/>
      <c r="O375" s="10"/>
      <c r="P375" s="10"/>
      <c r="Q375" s="33"/>
      <c r="R375" s="33"/>
      <c r="S375" s="33"/>
      <c r="T375" s="33"/>
      <c r="U375" s="33"/>
      <c r="V375" s="33"/>
      <c r="W375" s="107" t="s">
        <v>26</v>
      </c>
      <c r="X375" s="58"/>
      <c r="Y375" s="58"/>
      <c r="Z375" s="58"/>
      <c r="AA375" s="58"/>
      <c r="AB375" s="58"/>
      <c r="AC375" s="58"/>
    </row>
    <row r="376" spans="1:29" s="1" customFormat="1" ht="64.5" customHeight="1" x14ac:dyDescent="0.2">
      <c r="A376" s="8" t="s">
        <v>311</v>
      </c>
      <c r="B376" s="61" t="s">
        <v>284</v>
      </c>
      <c r="C376" s="33"/>
      <c r="D376" s="33"/>
      <c r="E376" s="33"/>
      <c r="F376" s="60"/>
      <c r="G376" s="60"/>
      <c r="H376" s="35" t="s">
        <v>16</v>
      </c>
      <c r="I376" s="24">
        <f>J376</f>
        <v>30.615480000000002</v>
      </c>
      <c r="J376" s="71">
        <v>30.615480000000002</v>
      </c>
      <c r="K376" s="24"/>
      <c r="L376" s="24"/>
      <c r="M376" s="24"/>
      <c r="N376" s="24"/>
      <c r="O376" s="10"/>
      <c r="P376" s="10"/>
      <c r="Q376" s="33"/>
      <c r="R376" s="33"/>
      <c r="S376" s="33"/>
      <c r="T376" s="33"/>
      <c r="U376" s="33"/>
      <c r="V376" s="33"/>
      <c r="W376" s="42" t="s">
        <v>26</v>
      </c>
      <c r="X376" s="58"/>
      <c r="Y376" s="58"/>
      <c r="Z376" s="58"/>
      <c r="AA376" s="58"/>
      <c r="AB376" s="58"/>
      <c r="AC376" s="58"/>
    </row>
    <row r="377" spans="1:29" s="1" customFormat="1" ht="73.5" customHeight="1" x14ac:dyDescent="0.2">
      <c r="A377" s="133" t="s">
        <v>83</v>
      </c>
      <c r="B377" s="181" t="s">
        <v>334</v>
      </c>
      <c r="C377" s="5"/>
      <c r="D377" s="5"/>
      <c r="E377" s="5"/>
      <c r="F377" s="133"/>
      <c r="G377" s="133"/>
      <c r="H377" s="15" t="s">
        <v>16</v>
      </c>
      <c r="I377" s="34">
        <f>I378+I380+I379+I381</f>
        <v>1280.2816500000001</v>
      </c>
      <c r="J377" s="94">
        <f>J378+J380+J379+J381</f>
        <v>535.28165000000001</v>
      </c>
      <c r="K377" s="34">
        <f>K379</f>
        <v>210</v>
      </c>
      <c r="L377" s="34">
        <f>L378+L379</f>
        <v>165</v>
      </c>
      <c r="M377" s="34">
        <f>M378+M379</f>
        <v>165</v>
      </c>
      <c r="N377" s="34">
        <f>N378+N379</f>
        <v>205</v>
      </c>
      <c r="O377" s="10"/>
      <c r="P377" s="10"/>
      <c r="Q377" s="33"/>
      <c r="R377" s="33"/>
      <c r="S377" s="33"/>
      <c r="T377" s="33"/>
      <c r="U377" s="33"/>
      <c r="V377" s="33"/>
      <c r="W377" s="311" t="s">
        <v>26</v>
      </c>
      <c r="X377" s="58"/>
      <c r="Y377" s="58"/>
      <c r="Z377" s="58"/>
      <c r="AA377" s="58"/>
      <c r="AB377" s="58"/>
      <c r="AC377" s="58"/>
    </row>
    <row r="378" spans="1:29" s="1" customFormat="1" ht="96.75" customHeight="1" x14ac:dyDescent="0.2">
      <c r="A378" s="8" t="s">
        <v>194</v>
      </c>
      <c r="B378" s="61" t="s">
        <v>316</v>
      </c>
      <c r="C378" s="6"/>
      <c r="D378" s="6"/>
      <c r="E378" s="6"/>
      <c r="F378" s="8"/>
      <c r="G378" s="8"/>
      <c r="H378" s="35" t="s">
        <v>16</v>
      </c>
      <c r="I378" s="24">
        <f>J378+K378</f>
        <v>173.56477000000001</v>
      </c>
      <c r="J378" s="71">
        <v>173.56477000000001</v>
      </c>
      <c r="K378" s="24"/>
      <c r="L378" s="10"/>
      <c r="M378" s="10"/>
      <c r="N378" s="10"/>
      <c r="O378" s="10"/>
      <c r="P378" s="10"/>
      <c r="Q378" s="33"/>
      <c r="R378" s="33"/>
      <c r="S378" s="33"/>
      <c r="T378" s="33"/>
      <c r="U378" s="33"/>
      <c r="V378" s="33"/>
      <c r="W378" s="312"/>
      <c r="X378" s="58"/>
      <c r="Y378" s="58"/>
      <c r="Z378" s="58"/>
      <c r="AA378" s="58"/>
      <c r="AB378" s="58"/>
      <c r="AC378" s="58"/>
    </row>
    <row r="379" spans="1:29" s="1" customFormat="1" ht="78" customHeight="1" x14ac:dyDescent="0.2">
      <c r="A379" s="8" t="s">
        <v>108</v>
      </c>
      <c r="B379" s="61" t="s">
        <v>333</v>
      </c>
      <c r="C379" s="6"/>
      <c r="D379" s="6"/>
      <c r="E379" s="6"/>
      <c r="F379" s="8"/>
      <c r="G379" s="8"/>
      <c r="H379" s="35" t="s">
        <v>16</v>
      </c>
      <c r="I379" s="24">
        <f>J379+K379+L379+M379+N379</f>
        <v>745</v>
      </c>
      <c r="J379" s="71"/>
      <c r="K379" s="24">
        <f>150+60</f>
        <v>210</v>
      </c>
      <c r="L379" s="9">
        <f>105+60</f>
        <v>165</v>
      </c>
      <c r="M379" s="9">
        <f>105+60</f>
        <v>165</v>
      </c>
      <c r="N379" s="9">
        <f>145+60</f>
        <v>205</v>
      </c>
      <c r="O379" s="10"/>
      <c r="P379" s="10"/>
      <c r="Q379" s="33"/>
      <c r="R379" s="33"/>
      <c r="S379" s="33"/>
      <c r="T379" s="33"/>
      <c r="U379" s="33"/>
      <c r="V379" s="33"/>
      <c r="W379" s="312"/>
      <c r="X379" s="58"/>
      <c r="Y379" s="58"/>
      <c r="Z379" s="58"/>
      <c r="AA379" s="58"/>
      <c r="AB379" s="58"/>
      <c r="AC379" s="58"/>
    </row>
    <row r="380" spans="1:29" s="1" customFormat="1" ht="83.25" customHeight="1" x14ac:dyDescent="0.2">
      <c r="A380" s="8" t="s">
        <v>277</v>
      </c>
      <c r="B380" s="61" t="s">
        <v>278</v>
      </c>
      <c r="C380" s="6"/>
      <c r="D380" s="6"/>
      <c r="E380" s="6"/>
      <c r="F380" s="8"/>
      <c r="G380" s="8"/>
      <c r="H380" s="35" t="s">
        <v>16</v>
      </c>
      <c r="I380" s="24">
        <f>J380</f>
        <v>232.32756000000001</v>
      </c>
      <c r="J380" s="44">
        <v>232.32756000000001</v>
      </c>
      <c r="K380" s="9"/>
      <c r="L380" s="9"/>
      <c r="M380" s="9"/>
      <c r="N380" s="9"/>
      <c r="O380" s="10"/>
      <c r="P380" s="10"/>
      <c r="Q380" s="33"/>
      <c r="R380" s="33"/>
      <c r="S380" s="33"/>
      <c r="T380" s="33"/>
      <c r="U380" s="33"/>
      <c r="V380" s="33"/>
      <c r="W380" s="217"/>
      <c r="X380" s="58"/>
      <c r="Y380" s="58"/>
      <c r="Z380" s="58"/>
      <c r="AA380" s="58"/>
      <c r="AB380" s="58"/>
      <c r="AC380" s="58"/>
    </row>
    <row r="381" spans="1:29" s="1" customFormat="1" ht="83.25" customHeight="1" x14ac:dyDescent="0.2">
      <c r="A381" s="8" t="s">
        <v>308</v>
      </c>
      <c r="B381" s="61" t="s">
        <v>285</v>
      </c>
      <c r="C381" s="33"/>
      <c r="D381" s="33"/>
      <c r="E381" s="33"/>
      <c r="F381" s="60"/>
      <c r="G381" s="60"/>
      <c r="H381" s="35" t="s">
        <v>16</v>
      </c>
      <c r="I381" s="24">
        <f>J381</f>
        <v>129.38932</v>
      </c>
      <c r="J381" s="71">
        <v>129.38932</v>
      </c>
      <c r="K381" s="9"/>
      <c r="L381" s="9"/>
      <c r="M381" s="9"/>
      <c r="N381" s="9"/>
      <c r="O381" s="10"/>
      <c r="P381" s="10"/>
      <c r="Q381" s="33"/>
      <c r="R381" s="33"/>
      <c r="S381" s="33"/>
      <c r="T381" s="33"/>
      <c r="U381" s="33"/>
      <c r="V381" s="33"/>
      <c r="W381" s="110" t="s">
        <v>26</v>
      </c>
      <c r="X381" s="58"/>
      <c r="Y381" s="58"/>
      <c r="Z381" s="58"/>
      <c r="AA381" s="58"/>
      <c r="AB381" s="58"/>
      <c r="AC381" s="58"/>
    </row>
    <row r="382" spans="1:29" s="1" customFormat="1" ht="78" customHeight="1" x14ac:dyDescent="0.2">
      <c r="A382" s="133" t="s">
        <v>84</v>
      </c>
      <c r="B382" s="140" t="s">
        <v>335</v>
      </c>
      <c r="C382" s="36"/>
      <c r="D382" s="36"/>
      <c r="E382" s="36"/>
      <c r="F382" s="37"/>
      <c r="G382" s="37"/>
      <c r="H382" s="15" t="s">
        <v>16</v>
      </c>
      <c r="I382" s="34">
        <f>I383+I384+I386</f>
        <v>963.06439999999986</v>
      </c>
      <c r="J382" s="94">
        <f>J383+J384+J386</f>
        <v>364.06439999999998</v>
      </c>
      <c r="K382" s="34">
        <f>K383</f>
        <v>102</v>
      </c>
      <c r="L382" s="34">
        <f t="shared" ref="L382:N382" si="78">L383</f>
        <v>145</v>
      </c>
      <c r="M382" s="34">
        <f t="shared" si="78"/>
        <v>160</v>
      </c>
      <c r="N382" s="34">
        <f t="shared" si="78"/>
        <v>192</v>
      </c>
      <c r="O382" s="39"/>
      <c r="P382" s="39"/>
      <c r="Q382" s="36"/>
      <c r="R382" s="36"/>
      <c r="S382" s="36"/>
      <c r="T382" s="36"/>
      <c r="U382" s="36"/>
      <c r="V382" s="36"/>
      <c r="W382" s="40"/>
      <c r="X382" s="58"/>
      <c r="Y382" s="58"/>
      <c r="Z382" s="58"/>
      <c r="AA382" s="58"/>
      <c r="AB382" s="58"/>
      <c r="AC382" s="58"/>
    </row>
    <row r="383" spans="1:29" s="1" customFormat="1" ht="85.5" customHeight="1" x14ac:dyDescent="0.2">
      <c r="A383" s="8" t="s">
        <v>195</v>
      </c>
      <c r="B383" s="61" t="s">
        <v>309</v>
      </c>
      <c r="C383" s="33"/>
      <c r="D383" s="33"/>
      <c r="E383" s="33"/>
      <c r="F383" s="60"/>
      <c r="G383" s="60"/>
      <c r="H383" s="35" t="s">
        <v>16</v>
      </c>
      <c r="I383" s="24">
        <f>J383+K383+L383+M383+N383</f>
        <v>697.89069999999992</v>
      </c>
      <c r="J383" s="71">
        <v>98.890699999999995</v>
      </c>
      <c r="K383" s="9">
        <v>102</v>
      </c>
      <c r="L383" s="9">
        <f>95+50</f>
        <v>145</v>
      </c>
      <c r="M383" s="9">
        <f>110+50</f>
        <v>160</v>
      </c>
      <c r="N383" s="9">
        <f>125+67</f>
        <v>192</v>
      </c>
      <c r="O383" s="10"/>
      <c r="P383" s="10"/>
      <c r="Q383" s="33"/>
      <c r="R383" s="33"/>
      <c r="S383" s="33"/>
      <c r="T383" s="33"/>
      <c r="U383" s="33"/>
      <c r="V383" s="33"/>
      <c r="W383" s="108" t="s">
        <v>26</v>
      </c>
      <c r="X383" s="58"/>
      <c r="Y383" s="58"/>
      <c r="Z383" s="58"/>
      <c r="AA383" s="58"/>
      <c r="AB383" s="58"/>
      <c r="AC383" s="58"/>
    </row>
    <row r="384" spans="1:29" s="1" customFormat="1" ht="80.25" customHeight="1" x14ac:dyDescent="0.2">
      <c r="A384" s="8" t="s">
        <v>279</v>
      </c>
      <c r="B384" s="61" t="s">
        <v>280</v>
      </c>
      <c r="C384" s="33"/>
      <c r="D384" s="33"/>
      <c r="E384" s="33"/>
      <c r="F384" s="60"/>
      <c r="G384" s="60"/>
      <c r="H384" s="35" t="s">
        <v>16</v>
      </c>
      <c r="I384" s="24">
        <f>J384</f>
        <v>195.49163999999999</v>
      </c>
      <c r="J384" s="71">
        <v>195.49163999999999</v>
      </c>
      <c r="K384" s="9"/>
      <c r="L384" s="9"/>
      <c r="M384" s="9"/>
      <c r="N384" s="9"/>
      <c r="O384" s="10"/>
      <c r="P384" s="10"/>
      <c r="Q384" s="33"/>
      <c r="R384" s="33"/>
      <c r="S384" s="33"/>
      <c r="T384" s="33"/>
      <c r="U384" s="33"/>
      <c r="V384" s="33"/>
      <c r="W384" s="108" t="s">
        <v>26</v>
      </c>
      <c r="X384" s="58"/>
      <c r="Y384" s="58"/>
      <c r="Z384" s="58"/>
      <c r="AA384" s="58"/>
      <c r="AB384" s="58"/>
      <c r="AC384" s="58"/>
    </row>
    <row r="385" spans="1:29" s="1" customFormat="1" ht="51" hidden="1" customHeight="1" x14ac:dyDescent="0.2">
      <c r="A385" s="133"/>
      <c r="B385" s="115"/>
      <c r="C385" s="33"/>
      <c r="D385" s="33"/>
      <c r="E385" s="33"/>
      <c r="F385" s="60"/>
      <c r="G385" s="60"/>
      <c r="H385" s="38"/>
      <c r="I385" s="34"/>
      <c r="J385" s="94"/>
      <c r="K385" s="11"/>
      <c r="L385" s="11"/>
      <c r="M385" s="11"/>
      <c r="N385" s="11"/>
      <c r="O385" s="10"/>
      <c r="P385" s="10"/>
      <c r="Q385" s="33"/>
      <c r="R385" s="33"/>
      <c r="S385" s="33"/>
      <c r="T385" s="33"/>
      <c r="U385" s="33"/>
      <c r="V385" s="33"/>
      <c r="W385" s="111"/>
      <c r="X385" s="58"/>
      <c r="Y385" s="58"/>
      <c r="Z385" s="58"/>
      <c r="AA385" s="58"/>
      <c r="AB385" s="58"/>
      <c r="AC385" s="58"/>
    </row>
    <row r="386" spans="1:29" s="1" customFormat="1" ht="60" customHeight="1" x14ac:dyDescent="0.2">
      <c r="A386" s="8" t="s">
        <v>321</v>
      </c>
      <c r="B386" s="61" t="s">
        <v>286</v>
      </c>
      <c r="C386" s="33"/>
      <c r="D386" s="33"/>
      <c r="E386" s="33"/>
      <c r="F386" s="60"/>
      <c r="G386" s="60"/>
      <c r="H386" s="35" t="s">
        <v>16</v>
      </c>
      <c r="I386" s="24">
        <f>J386</f>
        <v>69.682060000000007</v>
      </c>
      <c r="J386" s="71">
        <v>69.682060000000007</v>
      </c>
      <c r="K386" s="24"/>
      <c r="L386" s="24"/>
      <c r="M386" s="24"/>
      <c r="N386" s="24"/>
      <c r="O386" s="10"/>
      <c r="P386" s="10"/>
      <c r="Q386" s="33"/>
      <c r="R386" s="33"/>
      <c r="S386" s="33"/>
      <c r="T386" s="33"/>
      <c r="U386" s="33"/>
      <c r="V386" s="33"/>
      <c r="W386" s="42" t="s">
        <v>26</v>
      </c>
      <c r="X386" s="58"/>
      <c r="Y386" s="58"/>
      <c r="Z386" s="58"/>
      <c r="AA386" s="58"/>
      <c r="AB386" s="58"/>
      <c r="AC386" s="58"/>
    </row>
    <row r="387" spans="1:29" s="1" customFormat="1" ht="72.75" customHeight="1" x14ac:dyDescent="0.2">
      <c r="A387" s="133" t="s">
        <v>125</v>
      </c>
      <c r="B387" s="181" t="s">
        <v>336</v>
      </c>
      <c r="C387" s="36"/>
      <c r="D387" s="36"/>
      <c r="E387" s="36"/>
      <c r="F387" s="37"/>
      <c r="G387" s="37"/>
      <c r="H387" s="15" t="s">
        <v>16</v>
      </c>
      <c r="I387" s="34">
        <f>I388</f>
        <v>258</v>
      </c>
      <c r="J387" s="94">
        <f t="shared" ref="J387:N387" si="79">J388</f>
        <v>0</v>
      </c>
      <c r="K387" s="34">
        <f t="shared" si="79"/>
        <v>178</v>
      </c>
      <c r="L387" s="34">
        <f t="shared" si="79"/>
        <v>27</v>
      </c>
      <c r="M387" s="34">
        <f t="shared" si="79"/>
        <v>18</v>
      </c>
      <c r="N387" s="34">
        <f t="shared" si="79"/>
        <v>35</v>
      </c>
      <c r="O387" s="10"/>
      <c r="P387" s="10"/>
      <c r="Q387" s="33"/>
      <c r="R387" s="33"/>
      <c r="S387" s="33"/>
      <c r="T387" s="33"/>
      <c r="U387" s="33"/>
      <c r="V387" s="33"/>
      <c r="W387" s="111"/>
      <c r="X387" s="58"/>
      <c r="Y387" s="58"/>
      <c r="Z387" s="58"/>
      <c r="AA387" s="58"/>
      <c r="AB387" s="58"/>
      <c r="AC387" s="58"/>
    </row>
    <row r="388" spans="1:29" s="1" customFormat="1" ht="89.25" customHeight="1" x14ac:dyDescent="0.2">
      <c r="A388" s="8" t="s">
        <v>203</v>
      </c>
      <c r="B388" s="61" t="s">
        <v>246</v>
      </c>
      <c r="C388" s="33"/>
      <c r="D388" s="33"/>
      <c r="E388" s="33"/>
      <c r="F388" s="60"/>
      <c r="G388" s="60"/>
      <c r="H388" s="35" t="s">
        <v>16</v>
      </c>
      <c r="I388" s="34">
        <f>J388+K388+L388+M388+N388</f>
        <v>258</v>
      </c>
      <c r="J388" s="71">
        <v>0</v>
      </c>
      <c r="K388" s="29">
        <f>12+166</f>
        <v>178</v>
      </c>
      <c r="L388" s="29">
        <v>27</v>
      </c>
      <c r="M388" s="29">
        <v>18</v>
      </c>
      <c r="N388" s="29">
        <v>35</v>
      </c>
      <c r="O388" s="10"/>
      <c r="P388" s="10"/>
      <c r="Q388" s="33"/>
      <c r="R388" s="33"/>
      <c r="S388" s="33"/>
      <c r="T388" s="33"/>
      <c r="U388" s="33"/>
      <c r="V388" s="33"/>
      <c r="W388" s="111" t="s">
        <v>26</v>
      </c>
      <c r="X388" s="58"/>
      <c r="Y388" s="58"/>
      <c r="Z388" s="58"/>
      <c r="AA388" s="58"/>
      <c r="AB388" s="58"/>
      <c r="AC388" s="58"/>
    </row>
    <row r="389" spans="1:29" s="1" customFormat="1" ht="60" customHeight="1" x14ac:dyDescent="0.2">
      <c r="A389" s="133" t="s">
        <v>86</v>
      </c>
      <c r="B389" s="179" t="s">
        <v>332</v>
      </c>
      <c r="C389" s="33"/>
      <c r="D389" s="33"/>
      <c r="E389" s="33"/>
      <c r="F389" s="60"/>
      <c r="G389" s="60"/>
      <c r="H389" s="38" t="s">
        <v>16</v>
      </c>
      <c r="I389" s="34">
        <f t="shared" ref="I389:N389" si="80">I390+I393+I399+I402+I409+I396</f>
        <v>2421</v>
      </c>
      <c r="J389" s="94">
        <f t="shared" si="80"/>
        <v>0</v>
      </c>
      <c r="K389" s="34">
        <f t="shared" si="80"/>
        <v>726</v>
      </c>
      <c r="L389" s="34">
        <f t="shared" si="80"/>
        <v>695</v>
      </c>
      <c r="M389" s="34">
        <f t="shared" si="80"/>
        <v>630</v>
      </c>
      <c r="N389" s="34">
        <f t="shared" si="80"/>
        <v>370</v>
      </c>
      <c r="O389" s="10"/>
      <c r="P389" s="10"/>
      <c r="Q389" s="33"/>
      <c r="R389" s="33"/>
      <c r="S389" s="33"/>
      <c r="T389" s="33"/>
      <c r="U389" s="33"/>
      <c r="V389" s="33"/>
      <c r="W389" s="113"/>
      <c r="X389" s="58"/>
      <c r="Y389" s="58"/>
      <c r="Z389" s="58"/>
      <c r="AA389" s="58"/>
      <c r="AB389" s="58"/>
      <c r="AC389" s="58"/>
    </row>
    <row r="390" spans="1:29" s="1" customFormat="1" ht="53.25" customHeight="1" x14ac:dyDescent="0.2">
      <c r="A390" s="133" t="s">
        <v>87</v>
      </c>
      <c r="B390" s="115" t="s">
        <v>85</v>
      </c>
      <c r="C390" s="33"/>
      <c r="D390" s="33"/>
      <c r="E390" s="33"/>
      <c r="F390" s="60"/>
      <c r="G390" s="60"/>
      <c r="H390" s="38" t="s">
        <v>16</v>
      </c>
      <c r="I390" s="34">
        <f t="shared" ref="I390:N390" si="81">I392</f>
        <v>246</v>
      </c>
      <c r="J390" s="34">
        <f t="shared" si="81"/>
        <v>0</v>
      </c>
      <c r="K390" s="34">
        <f t="shared" si="81"/>
        <v>246</v>
      </c>
      <c r="L390" s="34">
        <f t="shared" si="81"/>
        <v>0</v>
      </c>
      <c r="M390" s="34">
        <f t="shared" si="81"/>
        <v>0</v>
      </c>
      <c r="N390" s="34">
        <f t="shared" si="81"/>
        <v>0</v>
      </c>
      <c r="O390" s="10"/>
      <c r="P390" s="10"/>
      <c r="Q390" s="33"/>
      <c r="R390" s="33"/>
      <c r="S390" s="33"/>
      <c r="T390" s="33"/>
      <c r="U390" s="33"/>
      <c r="V390" s="33"/>
      <c r="W390" s="113"/>
      <c r="X390" s="58"/>
      <c r="Y390" s="58"/>
      <c r="Z390" s="58"/>
      <c r="AA390" s="58"/>
      <c r="AB390" s="58"/>
      <c r="AC390" s="58"/>
    </row>
    <row r="391" spans="1:29" s="1" customFormat="1" ht="80.25" hidden="1" customHeight="1" x14ac:dyDescent="0.2">
      <c r="A391" s="8"/>
      <c r="B391" s="61"/>
      <c r="C391" s="33"/>
      <c r="D391" s="33"/>
      <c r="E391" s="33"/>
      <c r="F391" s="60"/>
      <c r="G391" s="60"/>
      <c r="H391" s="35"/>
      <c r="I391" s="24"/>
      <c r="J391" s="71"/>
      <c r="K391" s="24"/>
      <c r="L391" s="24"/>
      <c r="M391" s="24"/>
      <c r="N391" s="24"/>
      <c r="O391" s="10"/>
      <c r="P391" s="10"/>
      <c r="Q391" s="33"/>
      <c r="R391" s="33"/>
      <c r="S391" s="33"/>
      <c r="T391" s="33"/>
      <c r="U391" s="33"/>
      <c r="V391" s="33"/>
      <c r="W391" s="42"/>
      <c r="X391" s="58"/>
      <c r="Y391" s="58"/>
      <c r="Z391" s="58"/>
      <c r="AA391" s="58"/>
      <c r="AB391" s="58"/>
      <c r="AC391" s="58"/>
    </row>
    <row r="392" spans="1:29" s="1" customFormat="1" ht="80.25" customHeight="1" x14ac:dyDescent="0.2">
      <c r="A392" s="8" t="s">
        <v>160</v>
      </c>
      <c r="B392" s="61" t="s">
        <v>244</v>
      </c>
      <c r="C392" s="33"/>
      <c r="D392" s="33"/>
      <c r="E392" s="33"/>
      <c r="F392" s="60"/>
      <c r="G392" s="60"/>
      <c r="H392" s="35" t="s">
        <v>16</v>
      </c>
      <c r="I392" s="24">
        <f>K392</f>
        <v>246</v>
      </c>
      <c r="J392" s="71"/>
      <c r="K392" s="24">
        <v>246</v>
      </c>
      <c r="L392" s="24"/>
      <c r="M392" s="24"/>
      <c r="N392" s="24"/>
      <c r="O392" s="10"/>
      <c r="P392" s="10"/>
      <c r="Q392" s="33"/>
      <c r="R392" s="33"/>
      <c r="S392" s="33"/>
      <c r="T392" s="33"/>
      <c r="U392" s="33"/>
      <c r="V392" s="33"/>
      <c r="W392" s="42" t="s">
        <v>26</v>
      </c>
      <c r="X392" s="58"/>
      <c r="Y392" s="58"/>
      <c r="Z392" s="58"/>
      <c r="AA392" s="58"/>
      <c r="AB392" s="58"/>
      <c r="AC392" s="58"/>
    </row>
    <row r="393" spans="1:29" s="1" customFormat="1" ht="47.25" customHeight="1" x14ac:dyDescent="0.2">
      <c r="A393" s="133" t="s">
        <v>88</v>
      </c>
      <c r="B393" s="115" t="s">
        <v>89</v>
      </c>
      <c r="C393" s="36"/>
      <c r="D393" s="36"/>
      <c r="E393" s="36"/>
      <c r="F393" s="37"/>
      <c r="G393" s="37"/>
      <c r="H393" s="38" t="s">
        <v>16</v>
      </c>
      <c r="I393" s="94">
        <f t="shared" ref="I393" si="82">I394+I395</f>
        <v>481</v>
      </c>
      <c r="J393" s="94">
        <f>J394+J395</f>
        <v>0</v>
      </c>
      <c r="K393" s="94">
        <f t="shared" ref="K393:N393" si="83">K394+K395</f>
        <v>0</v>
      </c>
      <c r="L393" s="94">
        <f t="shared" si="83"/>
        <v>225</v>
      </c>
      <c r="M393" s="94">
        <f t="shared" si="83"/>
        <v>0</v>
      </c>
      <c r="N393" s="94">
        <f t="shared" si="83"/>
        <v>256</v>
      </c>
      <c r="O393" s="39"/>
      <c r="P393" s="39"/>
      <c r="Q393" s="36"/>
      <c r="R393" s="36"/>
      <c r="S393" s="36"/>
      <c r="T393" s="36"/>
      <c r="U393" s="36"/>
      <c r="V393" s="36"/>
      <c r="W393" s="43"/>
      <c r="X393" s="58"/>
      <c r="Y393" s="58"/>
      <c r="Z393" s="58"/>
      <c r="AA393" s="58"/>
      <c r="AB393" s="58"/>
      <c r="AC393" s="58"/>
    </row>
    <row r="394" spans="1:29" s="1" customFormat="1" ht="65.25" customHeight="1" x14ac:dyDescent="0.2">
      <c r="A394" s="8" t="s">
        <v>90</v>
      </c>
      <c r="B394" s="61" t="s">
        <v>236</v>
      </c>
      <c r="C394" s="33"/>
      <c r="D394" s="33"/>
      <c r="E394" s="33"/>
      <c r="F394" s="60"/>
      <c r="G394" s="60"/>
      <c r="H394" s="35" t="s">
        <v>16</v>
      </c>
      <c r="I394" s="24">
        <f>L394</f>
        <v>225</v>
      </c>
      <c r="J394" s="71"/>
      <c r="K394" s="24"/>
      <c r="L394" s="24">
        <v>225</v>
      </c>
      <c r="M394" s="24"/>
      <c r="N394" s="24"/>
      <c r="O394" s="10"/>
      <c r="P394" s="10"/>
      <c r="Q394" s="33"/>
      <c r="R394" s="33"/>
      <c r="S394" s="33"/>
      <c r="T394" s="33"/>
      <c r="U394" s="33"/>
      <c r="V394" s="33"/>
      <c r="W394" s="42" t="s">
        <v>26</v>
      </c>
      <c r="X394" s="58"/>
      <c r="Y394" s="58"/>
      <c r="Z394" s="58"/>
      <c r="AA394" s="58"/>
      <c r="AB394" s="58"/>
      <c r="AC394" s="58"/>
    </row>
    <row r="395" spans="1:29" s="1" customFormat="1" ht="90" customHeight="1" x14ac:dyDescent="0.2">
      <c r="A395" s="8" t="s">
        <v>235</v>
      </c>
      <c r="B395" s="61" t="s">
        <v>239</v>
      </c>
      <c r="C395" s="33"/>
      <c r="D395" s="33"/>
      <c r="E395" s="33"/>
      <c r="F395" s="60"/>
      <c r="G395" s="60"/>
      <c r="H395" s="35" t="s">
        <v>16</v>
      </c>
      <c r="I395" s="24">
        <f>L395+N395</f>
        <v>256</v>
      </c>
      <c r="J395" s="71"/>
      <c r="K395" s="24"/>
      <c r="L395" s="24"/>
      <c r="M395" s="24"/>
      <c r="N395" s="24">
        <v>256</v>
      </c>
      <c r="O395" s="10"/>
      <c r="P395" s="10"/>
      <c r="Q395" s="33"/>
      <c r="R395" s="33"/>
      <c r="S395" s="33"/>
      <c r="T395" s="33"/>
      <c r="U395" s="33"/>
      <c r="V395" s="33"/>
      <c r="W395" s="42" t="s">
        <v>26</v>
      </c>
      <c r="X395" s="58"/>
      <c r="Y395" s="58"/>
      <c r="Z395" s="58"/>
      <c r="AA395" s="58"/>
      <c r="AB395" s="58"/>
      <c r="AC395" s="58"/>
    </row>
    <row r="396" spans="1:29" s="1" customFormat="1" ht="44.25" customHeight="1" x14ac:dyDescent="0.2">
      <c r="A396" s="133" t="s">
        <v>91</v>
      </c>
      <c r="B396" s="115" t="s">
        <v>92</v>
      </c>
      <c r="C396" s="5"/>
      <c r="D396" s="5"/>
      <c r="E396" s="5"/>
      <c r="F396" s="133"/>
      <c r="G396" s="133"/>
      <c r="H396" s="38" t="s">
        <v>16</v>
      </c>
      <c r="I396" s="34">
        <f>I398</f>
        <v>630</v>
      </c>
      <c r="J396" s="34">
        <f t="shared" ref="J396:N396" si="84">J398</f>
        <v>0</v>
      </c>
      <c r="K396" s="34">
        <f t="shared" si="84"/>
        <v>0</v>
      </c>
      <c r="L396" s="34">
        <f t="shared" si="84"/>
        <v>0</v>
      </c>
      <c r="M396" s="34">
        <f t="shared" si="84"/>
        <v>630</v>
      </c>
      <c r="N396" s="34">
        <f t="shared" si="84"/>
        <v>0</v>
      </c>
      <c r="O396" s="10"/>
      <c r="P396" s="10"/>
      <c r="Q396" s="33"/>
      <c r="R396" s="33"/>
      <c r="S396" s="33"/>
      <c r="T396" s="33"/>
      <c r="U396" s="33"/>
      <c r="V396" s="33"/>
      <c r="W396" s="113"/>
      <c r="X396" s="58"/>
      <c r="Y396" s="58"/>
      <c r="Z396" s="58"/>
      <c r="AA396" s="58"/>
      <c r="AB396" s="58"/>
      <c r="AC396" s="58"/>
    </row>
    <row r="397" spans="1:29" s="1" customFormat="1" ht="169.5" hidden="1" customHeight="1" x14ac:dyDescent="0.2">
      <c r="A397" s="8"/>
      <c r="B397" s="61"/>
      <c r="C397" s="5"/>
      <c r="D397" s="5"/>
      <c r="E397" s="5"/>
      <c r="F397" s="133"/>
      <c r="G397" s="133"/>
      <c r="H397" s="35"/>
      <c r="I397" s="24"/>
      <c r="J397" s="71"/>
      <c r="K397" s="29"/>
      <c r="L397" s="29"/>
      <c r="M397" s="29"/>
      <c r="N397" s="29"/>
      <c r="O397" s="10"/>
      <c r="P397" s="10"/>
      <c r="Q397" s="33"/>
      <c r="R397" s="33"/>
      <c r="S397" s="33"/>
      <c r="T397" s="33"/>
      <c r="U397" s="33"/>
      <c r="V397" s="33"/>
      <c r="W397" s="138" t="s">
        <v>26</v>
      </c>
      <c r="X397" s="58"/>
      <c r="Y397" s="58"/>
      <c r="Z397" s="58"/>
      <c r="AA397" s="58"/>
      <c r="AB397" s="58"/>
      <c r="AC397" s="58"/>
    </row>
    <row r="398" spans="1:29" s="1" customFormat="1" ht="69.75" customHeight="1" x14ac:dyDescent="0.2">
      <c r="A398" s="8" t="s">
        <v>159</v>
      </c>
      <c r="B398" s="61" t="s">
        <v>238</v>
      </c>
      <c r="C398" s="33"/>
      <c r="D398" s="33"/>
      <c r="E398" s="33"/>
      <c r="F398" s="60"/>
      <c r="G398" s="60"/>
      <c r="H398" s="35" t="s">
        <v>16</v>
      </c>
      <c r="I398" s="24">
        <f>M398</f>
        <v>630</v>
      </c>
      <c r="J398" s="71"/>
      <c r="K398" s="24"/>
      <c r="L398" s="24"/>
      <c r="M398" s="24">
        <v>630</v>
      </c>
      <c r="N398" s="24"/>
      <c r="O398" s="10"/>
      <c r="P398" s="10"/>
      <c r="Q398" s="33"/>
      <c r="R398" s="33"/>
      <c r="S398" s="33"/>
      <c r="T398" s="33"/>
      <c r="U398" s="33"/>
      <c r="V398" s="33"/>
      <c r="W398" s="42" t="s">
        <v>26</v>
      </c>
      <c r="X398" s="58"/>
      <c r="Y398" s="58"/>
      <c r="Z398" s="58"/>
      <c r="AA398" s="58"/>
      <c r="AB398" s="58"/>
      <c r="AC398" s="58"/>
    </row>
    <row r="399" spans="1:29" s="1" customFormat="1" ht="42.75" customHeight="1" x14ac:dyDescent="0.2">
      <c r="A399" s="133" t="s">
        <v>93</v>
      </c>
      <c r="B399" s="115" t="s">
        <v>94</v>
      </c>
      <c r="C399" s="33"/>
      <c r="D399" s="33"/>
      <c r="E399" s="33"/>
      <c r="F399" s="60"/>
      <c r="G399" s="60"/>
      <c r="H399" s="38" t="s">
        <v>16</v>
      </c>
      <c r="I399" s="34">
        <f>I401</f>
        <v>225</v>
      </c>
      <c r="J399" s="34">
        <f t="shared" ref="J399:N399" si="85">J401</f>
        <v>0</v>
      </c>
      <c r="K399" s="34">
        <f t="shared" si="85"/>
        <v>0</v>
      </c>
      <c r="L399" s="34">
        <f t="shared" si="85"/>
        <v>225</v>
      </c>
      <c r="M399" s="34">
        <f t="shared" si="85"/>
        <v>0</v>
      </c>
      <c r="N399" s="34">
        <f t="shared" si="85"/>
        <v>0</v>
      </c>
      <c r="O399" s="10"/>
      <c r="P399" s="10"/>
      <c r="Q399" s="33"/>
      <c r="R399" s="33"/>
      <c r="S399" s="33"/>
      <c r="T399" s="33"/>
      <c r="U399" s="33"/>
      <c r="V399" s="33"/>
      <c r="W399" s="113"/>
      <c r="X399" s="58"/>
      <c r="Y399" s="58"/>
      <c r="Z399" s="58"/>
      <c r="AA399" s="58"/>
      <c r="AB399" s="58"/>
      <c r="AC399" s="58"/>
    </row>
    <row r="400" spans="1:29" s="1" customFormat="1" ht="52.5" hidden="1" customHeight="1" x14ac:dyDescent="0.2">
      <c r="A400" s="8"/>
      <c r="B400" s="61"/>
      <c r="C400" s="33"/>
      <c r="D400" s="33"/>
      <c r="E400" s="33"/>
      <c r="F400" s="60"/>
      <c r="G400" s="60"/>
      <c r="H400" s="35"/>
      <c r="I400" s="24"/>
      <c r="J400" s="71"/>
      <c r="K400" s="9"/>
      <c r="L400" s="9"/>
      <c r="M400" s="9"/>
      <c r="N400" s="9"/>
      <c r="O400" s="10"/>
      <c r="P400" s="10"/>
      <c r="Q400" s="33"/>
      <c r="R400" s="33"/>
      <c r="S400" s="33"/>
      <c r="T400" s="33"/>
      <c r="U400" s="33"/>
      <c r="V400" s="33"/>
      <c r="W400" s="138" t="s">
        <v>26</v>
      </c>
      <c r="X400" s="58"/>
      <c r="Y400" s="58"/>
      <c r="Z400" s="58"/>
      <c r="AA400" s="58"/>
      <c r="AB400" s="58"/>
      <c r="AC400" s="58"/>
    </row>
    <row r="401" spans="1:29" s="1" customFormat="1" ht="67.5" customHeight="1" x14ac:dyDescent="0.2">
      <c r="A401" s="8" t="s">
        <v>158</v>
      </c>
      <c r="B401" s="61" t="s">
        <v>245</v>
      </c>
      <c r="C401" s="33"/>
      <c r="D401" s="33"/>
      <c r="E401" s="33"/>
      <c r="F401" s="60"/>
      <c r="G401" s="60" t="s">
        <v>237</v>
      </c>
      <c r="H401" s="35" t="s">
        <v>16</v>
      </c>
      <c r="I401" s="24">
        <f>L401</f>
        <v>225</v>
      </c>
      <c r="J401" s="71"/>
      <c r="K401" s="24"/>
      <c r="L401" s="24">
        <v>225</v>
      </c>
      <c r="M401" s="24"/>
      <c r="N401" s="24"/>
      <c r="O401" s="10"/>
      <c r="P401" s="10"/>
      <c r="Q401" s="33"/>
      <c r="R401" s="33"/>
      <c r="S401" s="33"/>
      <c r="T401" s="33"/>
      <c r="U401" s="33"/>
      <c r="V401" s="33"/>
      <c r="W401" s="42" t="s">
        <v>26</v>
      </c>
      <c r="X401" s="58"/>
      <c r="Y401" s="58"/>
      <c r="Z401" s="58"/>
      <c r="AA401" s="58"/>
      <c r="AB401" s="58"/>
      <c r="AC401" s="58"/>
    </row>
    <row r="402" spans="1:29" s="1" customFormat="1" ht="45" customHeight="1" x14ac:dyDescent="0.2">
      <c r="A402" s="133" t="s">
        <v>96</v>
      </c>
      <c r="B402" s="115" t="s">
        <v>95</v>
      </c>
      <c r="C402" s="33"/>
      <c r="D402" s="33"/>
      <c r="E402" s="33"/>
      <c r="F402" s="60"/>
      <c r="G402" s="60"/>
      <c r="H402" s="38" t="s">
        <v>16</v>
      </c>
      <c r="I402" s="94">
        <f t="shared" ref="I402:N402" si="86">I403+I408</f>
        <v>570</v>
      </c>
      <c r="J402" s="94">
        <f t="shared" si="86"/>
        <v>0</v>
      </c>
      <c r="K402" s="94">
        <f t="shared" si="86"/>
        <v>325</v>
      </c>
      <c r="L402" s="94">
        <f t="shared" si="86"/>
        <v>245</v>
      </c>
      <c r="M402" s="94">
        <f t="shared" si="86"/>
        <v>0</v>
      </c>
      <c r="N402" s="94">
        <f t="shared" si="86"/>
        <v>0</v>
      </c>
      <c r="O402" s="10"/>
      <c r="P402" s="10"/>
      <c r="Q402" s="33"/>
      <c r="R402" s="33"/>
      <c r="S402" s="33"/>
      <c r="T402" s="33"/>
      <c r="U402" s="33"/>
      <c r="V402" s="33"/>
      <c r="W402" s="113"/>
      <c r="X402" s="58"/>
      <c r="Y402" s="58"/>
      <c r="Z402" s="58"/>
      <c r="AA402" s="58"/>
      <c r="AB402" s="58"/>
      <c r="AC402" s="58"/>
    </row>
    <row r="403" spans="1:29" s="1" customFormat="1" ht="82.5" customHeight="1" x14ac:dyDescent="0.2">
      <c r="A403" s="8" t="s">
        <v>99</v>
      </c>
      <c r="B403" s="61" t="s">
        <v>247</v>
      </c>
      <c r="C403" s="33"/>
      <c r="D403" s="33"/>
      <c r="E403" s="33"/>
      <c r="F403" s="60"/>
      <c r="G403" s="60"/>
      <c r="H403" s="35" t="s">
        <v>16</v>
      </c>
      <c r="I403" s="24">
        <f>J403+K403+L403+M403+N403</f>
        <v>325</v>
      </c>
      <c r="J403" s="71"/>
      <c r="K403" s="9">
        <v>325</v>
      </c>
      <c r="L403" s="9"/>
      <c r="M403" s="9"/>
      <c r="N403" s="9"/>
      <c r="O403" s="10"/>
      <c r="P403" s="10"/>
      <c r="Q403" s="33"/>
      <c r="R403" s="33"/>
      <c r="S403" s="33"/>
      <c r="T403" s="33"/>
      <c r="U403" s="33"/>
      <c r="V403" s="33"/>
      <c r="W403" s="110" t="s">
        <v>26</v>
      </c>
      <c r="X403" s="58"/>
      <c r="Y403" s="58"/>
      <c r="Z403" s="58"/>
      <c r="AA403" s="58"/>
      <c r="AB403" s="58"/>
      <c r="AC403" s="58"/>
    </row>
    <row r="404" spans="1:29" s="1" customFormat="1" ht="35.25" hidden="1" customHeight="1" x14ac:dyDescent="0.2">
      <c r="A404" s="133" t="s">
        <v>97</v>
      </c>
      <c r="B404" s="115" t="s">
        <v>102</v>
      </c>
      <c r="C404" s="5"/>
      <c r="D404" s="5"/>
      <c r="E404" s="5"/>
      <c r="F404" s="133"/>
      <c r="G404" s="133"/>
      <c r="H404" s="38" t="s">
        <v>16</v>
      </c>
      <c r="I404" s="34">
        <f t="shared" ref="I404:I406" si="87">J404+K404+N404</f>
        <v>0</v>
      </c>
      <c r="J404" s="94">
        <v>0</v>
      </c>
      <c r="K404" s="11">
        <v>0</v>
      </c>
      <c r="L404" s="11">
        <v>0</v>
      </c>
      <c r="M404" s="11">
        <v>0</v>
      </c>
      <c r="N404" s="11">
        <v>0</v>
      </c>
      <c r="O404" s="10"/>
      <c r="P404" s="10"/>
      <c r="Q404" s="33"/>
      <c r="R404" s="33"/>
      <c r="S404" s="33"/>
      <c r="T404" s="33"/>
      <c r="U404" s="33"/>
      <c r="V404" s="33"/>
      <c r="W404" s="111"/>
      <c r="X404" s="58"/>
      <c r="Y404" s="58"/>
      <c r="Z404" s="58"/>
      <c r="AA404" s="58"/>
      <c r="AB404" s="58"/>
      <c r="AC404" s="58"/>
    </row>
    <row r="405" spans="1:29" s="1" customFormat="1" ht="45" hidden="1" customHeight="1" x14ac:dyDescent="0.2">
      <c r="A405" s="133" t="s">
        <v>100</v>
      </c>
      <c r="B405" s="115" t="s">
        <v>98</v>
      </c>
      <c r="C405" s="5"/>
      <c r="D405" s="5"/>
      <c r="E405" s="5"/>
      <c r="F405" s="133"/>
      <c r="G405" s="133"/>
      <c r="H405" s="38" t="s">
        <v>16</v>
      </c>
      <c r="I405" s="34">
        <f t="shared" si="87"/>
        <v>0</v>
      </c>
      <c r="J405" s="94">
        <v>0</v>
      </c>
      <c r="K405" s="11">
        <v>0</v>
      </c>
      <c r="L405" s="11">
        <v>0</v>
      </c>
      <c r="M405" s="11">
        <v>0</v>
      </c>
      <c r="N405" s="11">
        <v>0</v>
      </c>
      <c r="O405" s="10"/>
      <c r="P405" s="10"/>
      <c r="Q405" s="33"/>
      <c r="R405" s="33"/>
      <c r="S405" s="33"/>
      <c r="T405" s="33"/>
      <c r="U405" s="33"/>
      <c r="V405" s="33"/>
      <c r="W405" s="113"/>
      <c r="X405" s="58"/>
      <c r="Y405" s="58"/>
      <c r="Z405" s="58"/>
      <c r="AA405" s="58"/>
      <c r="AB405" s="58"/>
      <c r="AC405" s="58"/>
    </row>
    <row r="406" spans="1:29" s="1" customFormat="1" ht="63.75" hidden="1" customHeight="1" x14ac:dyDescent="0.2">
      <c r="A406" s="133" t="s">
        <v>104</v>
      </c>
      <c r="B406" s="115" t="s">
        <v>101</v>
      </c>
      <c r="C406" s="33"/>
      <c r="D406" s="33"/>
      <c r="E406" s="33"/>
      <c r="F406" s="60"/>
      <c r="G406" s="60"/>
      <c r="H406" s="38" t="s">
        <v>16</v>
      </c>
      <c r="I406" s="34">
        <f t="shared" si="87"/>
        <v>0</v>
      </c>
      <c r="J406" s="94">
        <f>J359-J360</f>
        <v>0</v>
      </c>
      <c r="K406" s="34">
        <v>0</v>
      </c>
      <c r="L406" s="34">
        <v>0</v>
      </c>
      <c r="M406" s="34">
        <v>0</v>
      </c>
      <c r="N406" s="34">
        <v>0</v>
      </c>
      <c r="O406" s="10"/>
      <c r="P406" s="10"/>
      <c r="Q406" s="33"/>
      <c r="R406" s="33"/>
      <c r="S406" s="33"/>
      <c r="T406" s="33"/>
      <c r="U406" s="33"/>
      <c r="V406" s="33"/>
      <c r="W406" s="113"/>
      <c r="X406" s="58"/>
      <c r="Y406" s="58"/>
      <c r="Z406" s="58"/>
      <c r="AA406" s="58"/>
      <c r="AB406" s="58"/>
      <c r="AC406" s="58"/>
    </row>
    <row r="407" spans="1:29" s="1" customFormat="1" ht="61.5" hidden="1" customHeight="1" x14ac:dyDescent="0.2">
      <c r="A407" s="133" t="s">
        <v>104</v>
      </c>
      <c r="B407" s="115" t="s">
        <v>126</v>
      </c>
      <c r="C407" s="33"/>
      <c r="D407" s="33"/>
      <c r="E407" s="33"/>
      <c r="F407" s="60"/>
      <c r="G407" s="60"/>
      <c r="H407" s="38" t="s">
        <v>16</v>
      </c>
      <c r="I407" s="34"/>
      <c r="J407" s="94"/>
      <c r="K407" s="34"/>
      <c r="L407" s="34"/>
      <c r="M407" s="34"/>
      <c r="N407" s="34"/>
      <c r="O407" s="10"/>
      <c r="P407" s="10"/>
      <c r="Q407" s="33"/>
      <c r="R407" s="33"/>
      <c r="S407" s="33"/>
      <c r="T407" s="33"/>
      <c r="U407" s="33"/>
      <c r="V407" s="33"/>
      <c r="W407" s="113"/>
      <c r="X407" s="58"/>
      <c r="Y407" s="58"/>
      <c r="Z407" s="58"/>
      <c r="AA407" s="58"/>
      <c r="AB407" s="58"/>
      <c r="AC407" s="58"/>
    </row>
    <row r="408" spans="1:29" s="1" customFormat="1" ht="61.5" customHeight="1" x14ac:dyDescent="0.2">
      <c r="A408" s="8" t="s">
        <v>202</v>
      </c>
      <c r="B408" s="61" t="s">
        <v>248</v>
      </c>
      <c r="C408" s="33"/>
      <c r="D408" s="33"/>
      <c r="E408" s="33"/>
      <c r="F408" s="60"/>
      <c r="G408" s="60"/>
      <c r="H408" s="35" t="s">
        <v>16</v>
      </c>
      <c r="I408" s="24">
        <f>J408+K408+L408+M408+N408</f>
        <v>245</v>
      </c>
      <c r="J408" s="71"/>
      <c r="K408" s="9"/>
      <c r="L408" s="9">
        <v>245</v>
      </c>
      <c r="M408" s="9"/>
      <c r="N408" s="9"/>
      <c r="O408" s="10"/>
      <c r="P408" s="10"/>
      <c r="Q408" s="33"/>
      <c r="R408" s="33"/>
      <c r="S408" s="33"/>
      <c r="T408" s="33"/>
      <c r="U408" s="33"/>
      <c r="V408" s="33"/>
      <c r="W408" s="110" t="s">
        <v>26</v>
      </c>
      <c r="X408" s="58"/>
      <c r="Y408" s="58"/>
      <c r="Z408" s="58"/>
      <c r="AA408" s="58"/>
      <c r="AB408" s="58"/>
      <c r="AC408" s="58"/>
    </row>
    <row r="409" spans="1:29" s="1" customFormat="1" ht="61.5" customHeight="1" x14ac:dyDescent="0.2">
      <c r="A409" s="133" t="s">
        <v>97</v>
      </c>
      <c r="B409" s="115" t="s">
        <v>102</v>
      </c>
      <c r="C409" s="33"/>
      <c r="D409" s="33"/>
      <c r="E409" s="33"/>
      <c r="F409" s="60"/>
      <c r="G409" s="60"/>
      <c r="H409" s="38" t="s">
        <v>16</v>
      </c>
      <c r="I409" s="34">
        <f>I410+I411+I412</f>
        <v>269</v>
      </c>
      <c r="J409" s="94">
        <v>0</v>
      </c>
      <c r="K409" s="11">
        <f>K410+K411</f>
        <v>155</v>
      </c>
      <c r="L409" s="11">
        <f>L410</f>
        <v>0</v>
      </c>
      <c r="M409" s="11">
        <f>M410</f>
        <v>0</v>
      </c>
      <c r="N409" s="11">
        <f>N412</f>
        <v>114</v>
      </c>
      <c r="O409" s="10"/>
      <c r="P409" s="10"/>
      <c r="Q409" s="33"/>
      <c r="R409" s="33"/>
      <c r="S409" s="33"/>
      <c r="T409" s="33"/>
      <c r="U409" s="33"/>
      <c r="V409" s="33"/>
      <c r="W409" s="113"/>
      <c r="X409" s="58"/>
      <c r="Y409" s="58"/>
      <c r="Z409" s="58"/>
      <c r="AA409" s="58"/>
      <c r="AB409" s="58"/>
      <c r="AC409" s="58"/>
    </row>
    <row r="410" spans="1:29" ht="72.75" customHeight="1" x14ac:dyDescent="0.2">
      <c r="A410" s="8" t="s">
        <v>204</v>
      </c>
      <c r="B410" s="61" t="s">
        <v>207</v>
      </c>
      <c r="C410" s="33"/>
      <c r="D410" s="33"/>
      <c r="E410" s="33"/>
      <c r="F410" s="60"/>
      <c r="G410" s="60"/>
      <c r="H410" s="35" t="s">
        <v>16</v>
      </c>
      <c r="I410" s="24">
        <f>K410</f>
        <v>75</v>
      </c>
      <c r="J410" s="82"/>
      <c r="K410" s="71">
        <v>75</v>
      </c>
      <c r="L410" s="9"/>
      <c r="M410" s="9"/>
      <c r="N410" s="9"/>
      <c r="O410" s="10"/>
      <c r="P410" s="10"/>
      <c r="Q410" s="33"/>
      <c r="R410" s="33"/>
      <c r="S410" s="33"/>
      <c r="T410" s="33"/>
      <c r="U410" s="33"/>
      <c r="V410" s="33"/>
      <c r="W410" s="110" t="s">
        <v>26</v>
      </c>
    </row>
    <row r="411" spans="1:29" ht="72.75" customHeight="1" x14ac:dyDescent="0.2">
      <c r="A411" s="8" t="s">
        <v>205</v>
      </c>
      <c r="B411" s="61" t="s">
        <v>206</v>
      </c>
      <c r="C411" s="33"/>
      <c r="D411" s="33"/>
      <c r="E411" s="33"/>
      <c r="F411" s="60"/>
      <c r="G411" s="60"/>
      <c r="H411" s="35" t="s">
        <v>16</v>
      </c>
      <c r="I411" s="24">
        <f>K411</f>
        <v>80</v>
      </c>
      <c r="J411" s="81"/>
      <c r="K411" s="71">
        <v>80</v>
      </c>
      <c r="L411" s="9"/>
      <c r="M411" s="9"/>
      <c r="N411" s="9"/>
      <c r="O411" s="10"/>
      <c r="P411" s="10"/>
      <c r="Q411" s="33"/>
      <c r="R411" s="33"/>
      <c r="S411" s="33"/>
      <c r="T411" s="33"/>
      <c r="U411" s="33"/>
      <c r="V411" s="33"/>
      <c r="W411" s="110" t="s">
        <v>26</v>
      </c>
    </row>
    <row r="412" spans="1:29" ht="67.5" customHeight="1" x14ac:dyDescent="0.2">
      <c r="A412" s="65" t="s">
        <v>240</v>
      </c>
      <c r="B412" s="116" t="s">
        <v>243</v>
      </c>
      <c r="C412" s="117"/>
      <c r="D412" s="117"/>
      <c r="E412" s="117"/>
      <c r="F412" s="7"/>
      <c r="G412" s="7"/>
      <c r="H412" s="66" t="s">
        <v>16</v>
      </c>
      <c r="I412" s="67">
        <f>J412+K412+L412+M412+N412</f>
        <v>114</v>
      </c>
      <c r="J412" s="95"/>
      <c r="K412" s="25"/>
      <c r="L412" s="25"/>
      <c r="M412" s="25"/>
      <c r="N412" s="25">
        <v>114</v>
      </c>
      <c r="Q412" s="54"/>
      <c r="R412" s="54"/>
      <c r="S412" s="54"/>
      <c r="T412" s="54"/>
      <c r="U412" s="54"/>
      <c r="V412" s="54"/>
      <c r="W412" s="110" t="s">
        <v>26</v>
      </c>
    </row>
    <row r="413" spans="1:29" ht="55.5" hidden="1" customHeight="1" x14ac:dyDescent="0.2">
      <c r="A413" s="134"/>
      <c r="B413" s="130"/>
      <c r="C413" s="123"/>
      <c r="D413" s="123"/>
      <c r="E413" s="123"/>
      <c r="F413" s="134"/>
      <c r="G413" s="134"/>
      <c r="H413" s="70"/>
      <c r="I413" s="68"/>
      <c r="J413" s="96"/>
      <c r="K413" s="69"/>
      <c r="L413" s="69"/>
      <c r="M413" s="69"/>
      <c r="N413" s="69"/>
      <c r="Q413" s="54"/>
      <c r="R413" s="54"/>
      <c r="S413" s="54"/>
      <c r="T413" s="54"/>
      <c r="U413" s="54"/>
      <c r="V413" s="54"/>
      <c r="W413" s="110"/>
    </row>
    <row r="414" spans="1:29" ht="48" customHeight="1" x14ac:dyDescent="0.2">
      <c r="A414" s="354" t="s">
        <v>339</v>
      </c>
      <c r="B414" s="355"/>
      <c r="C414" s="355"/>
      <c r="D414" s="355"/>
      <c r="E414" s="355"/>
      <c r="F414" s="355"/>
      <c r="G414" s="355"/>
      <c r="H414" s="355"/>
      <c r="I414" s="355"/>
      <c r="J414" s="355"/>
      <c r="K414" s="355"/>
      <c r="L414" s="355"/>
      <c r="M414" s="355"/>
      <c r="N414" s="355"/>
      <c r="O414" s="355"/>
      <c r="P414" s="355"/>
      <c r="Q414" s="355"/>
      <c r="R414" s="355"/>
      <c r="S414" s="355"/>
      <c r="T414" s="355"/>
      <c r="U414" s="355"/>
      <c r="V414" s="355"/>
      <c r="W414" s="356"/>
    </row>
    <row r="415" spans="1:29" ht="24.75" customHeight="1" x14ac:dyDescent="0.2"/>
  </sheetData>
  <mergeCells count="313">
    <mergeCell ref="A414:W414"/>
    <mergeCell ref="W363:W365"/>
    <mergeCell ref="W377:W380"/>
    <mergeCell ref="A350:A352"/>
    <mergeCell ref="B350:B352"/>
    <mergeCell ref="W350:W352"/>
    <mergeCell ref="B353:B355"/>
    <mergeCell ref="W353:W355"/>
    <mergeCell ref="B356:B358"/>
    <mergeCell ref="W356:W358"/>
    <mergeCell ref="A343:A346"/>
    <mergeCell ref="B343:B346"/>
    <mergeCell ref="W343:W346"/>
    <mergeCell ref="A347:A349"/>
    <mergeCell ref="B347:B349"/>
    <mergeCell ref="W347:W349"/>
    <mergeCell ref="A337:A339"/>
    <mergeCell ref="B337:B339"/>
    <mergeCell ref="W337:W339"/>
    <mergeCell ref="A340:A342"/>
    <mergeCell ref="B340:B342"/>
    <mergeCell ref="W340:W342"/>
    <mergeCell ref="A330:A333"/>
    <mergeCell ref="B330:B333"/>
    <mergeCell ref="W330:W333"/>
    <mergeCell ref="A334:A336"/>
    <mergeCell ref="B334:B336"/>
    <mergeCell ref="W334:W336"/>
    <mergeCell ref="B321:B323"/>
    <mergeCell ref="A324:A326"/>
    <mergeCell ref="B324:B326"/>
    <mergeCell ref="W324:W326"/>
    <mergeCell ref="B327:B329"/>
    <mergeCell ref="W327:W329"/>
    <mergeCell ref="A315:A317"/>
    <mergeCell ref="B315:B317"/>
    <mergeCell ref="W315:W317"/>
    <mergeCell ref="A318:A320"/>
    <mergeCell ref="B318:B320"/>
    <mergeCell ref="W318:W320"/>
    <mergeCell ref="A306:A308"/>
    <mergeCell ref="B306:B308"/>
    <mergeCell ref="W306:W308"/>
    <mergeCell ref="B309:B311"/>
    <mergeCell ref="W309:W311"/>
    <mergeCell ref="B312:B314"/>
    <mergeCell ref="W312:W314"/>
    <mergeCell ref="B297:B299"/>
    <mergeCell ref="A300:A302"/>
    <mergeCell ref="B300:B302"/>
    <mergeCell ref="A303:A305"/>
    <mergeCell ref="B303:B305"/>
    <mergeCell ref="W303:W305"/>
    <mergeCell ref="A285:A287"/>
    <mergeCell ref="B285:B287"/>
    <mergeCell ref="W285:W287"/>
    <mergeCell ref="B288:B290"/>
    <mergeCell ref="W288:W302"/>
    <mergeCell ref="A291:A293"/>
    <mergeCell ref="B291:B293"/>
    <mergeCell ref="A294:A296"/>
    <mergeCell ref="B294:B296"/>
    <mergeCell ref="A297:A299"/>
    <mergeCell ref="A279:A281"/>
    <mergeCell ref="B279:B281"/>
    <mergeCell ref="W279:W281"/>
    <mergeCell ref="A282:A284"/>
    <mergeCell ref="B282:B284"/>
    <mergeCell ref="W282:W284"/>
    <mergeCell ref="A270:A272"/>
    <mergeCell ref="B270:B272"/>
    <mergeCell ref="A273:A275"/>
    <mergeCell ref="B273:B275"/>
    <mergeCell ref="W273:W275"/>
    <mergeCell ref="A276:A278"/>
    <mergeCell ref="B276:B278"/>
    <mergeCell ref="W276:W278"/>
    <mergeCell ref="A264:A266"/>
    <mergeCell ref="B264:B266"/>
    <mergeCell ref="W264:W266"/>
    <mergeCell ref="A267:A269"/>
    <mergeCell ref="B267:B269"/>
    <mergeCell ref="W267:W269"/>
    <mergeCell ref="A255:A257"/>
    <mergeCell ref="B255:B257"/>
    <mergeCell ref="A258:A260"/>
    <mergeCell ref="B258:B260"/>
    <mergeCell ref="W258:W260"/>
    <mergeCell ref="A261:A263"/>
    <mergeCell ref="B261:B263"/>
    <mergeCell ref="W261:W263"/>
    <mergeCell ref="A249:A251"/>
    <mergeCell ref="B249:B251"/>
    <mergeCell ref="W249:W251"/>
    <mergeCell ref="A252:A254"/>
    <mergeCell ref="B252:B254"/>
    <mergeCell ref="W252:W254"/>
    <mergeCell ref="A240:A242"/>
    <mergeCell ref="B240:B242"/>
    <mergeCell ref="W240:W242"/>
    <mergeCell ref="B243:B245"/>
    <mergeCell ref="W243:W245"/>
    <mergeCell ref="B246:B248"/>
    <mergeCell ref="W246:W248"/>
    <mergeCell ref="B225:B227"/>
    <mergeCell ref="B231:B233"/>
    <mergeCell ref="A234:A236"/>
    <mergeCell ref="B234:B236"/>
    <mergeCell ref="W234:W236"/>
    <mergeCell ref="A237:A239"/>
    <mergeCell ref="B237:B239"/>
    <mergeCell ref="W237:W239"/>
    <mergeCell ref="A219:A221"/>
    <mergeCell ref="B219:B221"/>
    <mergeCell ref="W219:W221"/>
    <mergeCell ref="A222:A224"/>
    <mergeCell ref="B222:B224"/>
    <mergeCell ref="W222:W224"/>
    <mergeCell ref="B228:B230"/>
    <mergeCell ref="W225:W227"/>
    <mergeCell ref="W228:W230"/>
    <mergeCell ref="A213:A215"/>
    <mergeCell ref="B213:B215"/>
    <mergeCell ref="W213:W215"/>
    <mergeCell ref="A216:A218"/>
    <mergeCell ref="B216:B218"/>
    <mergeCell ref="W216:W218"/>
    <mergeCell ref="B204:B206"/>
    <mergeCell ref="W204:W206"/>
    <mergeCell ref="A207:A209"/>
    <mergeCell ref="B207:B209"/>
    <mergeCell ref="W207:W209"/>
    <mergeCell ref="A210:A212"/>
    <mergeCell ref="B210:B212"/>
    <mergeCell ref="W210:W212"/>
    <mergeCell ref="A198:A200"/>
    <mergeCell ref="B198:B200"/>
    <mergeCell ref="W198:W200"/>
    <mergeCell ref="A201:A203"/>
    <mergeCell ref="B201:B203"/>
    <mergeCell ref="W201:W203"/>
    <mergeCell ref="A192:A194"/>
    <mergeCell ref="B192:B194"/>
    <mergeCell ref="W192:W194"/>
    <mergeCell ref="A195:A197"/>
    <mergeCell ref="B195:B197"/>
    <mergeCell ref="W195:W197"/>
    <mergeCell ref="A186:A188"/>
    <mergeCell ref="B186:B188"/>
    <mergeCell ref="W186:W188"/>
    <mergeCell ref="A189:A191"/>
    <mergeCell ref="B189:B191"/>
    <mergeCell ref="W189:W191"/>
    <mergeCell ref="A183:A185"/>
    <mergeCell ref="B183:B185"/>
    <mergeCell ref="W183:W185"/>
    <mergeCell ref="A174:A176"/>
    <mergeCell ref="B174:B176"/>
    <mergeCell ref="W175:W176"/>
    <mergeCell ref="B177:B179"/>
    <mergeCell ref="W177:W179"/>
    <mergeCell ref="B180:B182"/>
    <mergeCell ref="W180:W182"/>
    <mergeCell ref="B165:B167"/>
    <mergeCell ref="W165:W167"/>
    <mergeCell ref="A168:A170"/>
    <mergeCell ref="B168:B170"/>
    <mergeCell ref="W168:W170"/>
    <mergeCell ref="A171:A173"/>
    <mergeCell ref="B171:B173"/>
    <mergeCell ref="W171:W173"/>
    <mergeCell ref="A159:A161"/>
    <mergeCell ref="B159:B161"/>
    <mergeCell ref="W159:W161"/>
    <mergeCell ref="A162:A164"/>
    <mergeCell ref="B162:B164"/>
    <mergeCell ref="W162:W164"/>
    <mergeCell ref="A153:A155"/>
    <mergeCell ref="B153:B155"/>
    <mergeCell ref="W153:W155"/>
    <mergeCell ref="A156:A158"/>
    <mergeCell ref="B156:B158"/>
    <mergeCell ref="W156:W158"/>
    <mergeCell ref="A147:A149"/>
    <mergeCell ref="B147:B149"/>
    <mergeCell ref="B150:B152"/>
    <mergeCell ref="W150:W152"/>
    <mergeCell ref="A141:A143"/>
    <mergeCell ref="B141:B143"/>
    <mergeCell ref="W141:W143"/>
    <mergeCell ref="A144:A146"/>
    <mergeCell ref="B144:B146"/>
    <mergeCell ref="W144:W146"/>
    <mergeCell ref="A138:A140"/>
    <mergeCell ref="B138:B140"/>
    <mergeCell ref="W138:W140"/>
    <mergeCell ref="A132:A134"/>
    <mergeCell ref="B132:B134"/>
    <mergeCell ref="W132:W134"/>
    <mergeCell ref="A135:A137"/>
    <mergeCell ref="B135:B137"/>
    <mergeCell ref="W135:W137"/>
    <mergeCell ref="A126:A128"/>
    <mergeCell ref="B126:B128"/>
    <mergeCell ref="W126:W128"/>
    <mergeCell ref="A129:A131"/>
    <mergeCell ref="B129:B131"/>
    <mergeCell ref="W129:W131"/>
    <mergeCell ref="A117:A119"/>
    <mergeCell ref="B117:B119"/>
    <mergeCell ref="W117:W125"/>
    <mergeCell ref="A120:A122"/>
    <mergeCell ref="B120:B122"/>
    <mergeCell ref="A123:A125"/>
    <mergeCell ref="B123:B125"/>
    <mergeCell ref="A105:A107"/>
    <mergeCell ref="B105:B107"/>
    <mergeCell ref="W105:W107"/>
    <mergeCell ref="W108:W110"/>
    <mergeCell ref="B111:B113"/>
    <mergeCell ref="W111:W113"/>
    <mergeCell ref="A99:A101"/>
    <mergeCell ref="B99:B101"/>
    <mergeCell ref="W99:W101"/>
    <mergeCell ref="A102:A104"/>
    <mergeCell ref="B102:B104"/>
    <mergeCell ref="W102:W104"/>
    <mergeCell ref="B90:B92"/>
    <mergeCell ref="W90:W92"/>
    <mergeCell ref="A93:A95"/>
    <mergeCell ref="B93:B95"/>
    <mergeCell ref="W93:W95"/>
    <mergeCell ref="A96:A98"/>
    <mergeCell ref="B96:B98"/>
    <mergeCell ref="W96:W98"/>
    <mergeCell ref="A84:A86"/>
    <mergeCell ref="B84:B86"/>
    <mergeCell ref="W84:W86"/>
    <mergeCell ref="A87:A89"/>
    <mergeCell ref="B87:B89"/>
    <mergeCell ref="W87:W89"/>
    <mergeCell ref="B75:B77"/>
    <mergeCell ref="W75:W77"/>
    <mergeCell ref="B78:B80"/>
    <mergeCell ref="W78:W80"/>
    <mergeCell ref="A81:A83"/>
    <mergeCell ref="B81:B83"/>
    <mergeCell ref="W81:W83"/>
    <mergeCell ref="A66:A68"/>
    <mergeCell ref="B66:B68"/>
    <mergeCell ref="W66:W68"/>
    <mergeCell ref="B69:B71"/>
    <mergeCell ref="W69:W71"/>
    <mergeCell ref="B72:B74"/>
    <mergeCell ref="W72:W74"/>
    <mergeCell ref="A78:A80"/>
    <mergeCell ref="A57:A59"/>
    <mergeCell ref="B57:B59"/>
    <mergeCell ref="W57:W59"/>
    <mergeCell ref="B60:B62"/>
    <mergeCell ref="W60:W62"/>
    <mergeCell ref="B63:B65"/>
    <mergeCell ref="W63:W65"/>
    <mergeCell ref="B45:B47"/>
    <mergeCell ref="B48:B50"/>
    <mergeCell ref="W48:W50"/>
    <mergeCell ref="B51:B53"/>
    <mergeCell ref="W51:W53"/>
    <mergeCell ref="B54:B56"/>
    <mergeCell ref="W54:W56"/>
    <mergeCell ref="B11:B14"/>
    <mergeCell ref="A15:A17"/>
    <mergeCell ref="B15:B17"/>
    <mergeCell ref="A38:A40"/>
    <mergeCell ref="B38:B40"/>
    <mergeCell ref="W38:W40"/>
    <mergeCell ref="A41:A44"/>
    <mergeCell ref="B41:B44"/>
    <mergeCell ref="W41:W43"/>
    <mergeCell ref="A29:A31"/>
    <mergeCell ref="B29:B31"/>
    <mergeCell ref="W29:W31"/>
    <mergeCell ref="A32:A34"/>
    <mergeCell ref="B32:B34"/>
    <mergeCell ref="A35:A37"/>
    <mergeCell ref="B35:B37"/>
    <mergeCell ref="W35:W37"/>
    <mergeCell ref="B21:B22"/>
    <mergeCell ref="A21:A22"/>
    <mergeCell ref="W114:W116"/>
    <mergeCell ref="B114:B116"/>
    <mergeCell ref="A114:A116"/>
    <mergeCell ref="K3:N3"/>
    <mergeCell ref="K4:N4"/>
    <mergeCell ref="A6:N6"/>
    <mergeCell ref="A7:W7"/>
    <mergeCell ref="A8:A9"/>
    <mergeCell ref="B8:B9"/>
    <mergeCell ref="C8:F8"/>
    <mergeCell ref="H8:H9"/>
    <mergeCell ref="I8:I9"/>
    <mergeCell ref="J8:N8"/>
    <mergeCell ref="A18:A20"/>
    <mergeCell ref="B18:B20"/>
    <mergeCell ref="W18:W20"/>
    <mergeCell ref="B23:B24"/>
    <mergeCell ref="W23:W24"/>
    <mergeCell ref="A25:A28"/>
    <mergeCell ref="B25:B28"/>
    <mergeCell ref="W25:W28"/>
    <mergeCell ref="W8:W9"/>
    <mergeCell ref="C9:F9"/>
    <mergeCell ref="A11:A14"/>
  </mergeCells>
  <pageMargins left="0.19685039370078741" right="0.19685039370078741" top="0.59055118110236227" bottom="0.19685039370078741" header="0.31496062992125984" footer="0.31496062992125984"/>
  <pageSetup paperSize="9" scale="46" orientation="landscape" r:id="rId1"/>
  <headerFooter differentFirst="1">
    <oddHeader>&amp;C&amp;P</oddHeader>
  </headerFooter>
  <rowBreaks count="8" manualBreakCount="8">
    <brk id="127" max="26" man="1"/>
    <brk id="173" max="26" man="1"/>
    <brk id="206" max="26" man="1"/>
    <brk id="243" max="26" man="1"/>
    <brk id="262" max="26" man="1"/>
    <brk id="296" max="26" man="1"/>
    <brk id="326" max="26" man="1"/>
    <brk id="36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№6 </vt:lpstr>
      <vt:lpstr>'Прил. №6 '!Заголовки_для_печати</vt:lpstr>
      <vt:lpstr>'Прил. №6 '!Область_печати</vt:lpstr>
    </vt:vector>
  </TitlesOfParts>
  <Company>DDH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Наталья Игоревна</dc:creator>
  <cp:lastModifiedBy>Лавренюк Наталья Викторовна</cp:lastModifiedBy>
  <cp:lastPrinted>2022-01-03T01:33:06Z</cp:lastPrinted>
  <dcterms:created xsi:type="dcterms:W3CDTF">2013-07-01T01:53:24Z</dcterms:created>
  <dcterms:modified xsi:type="dcterms:W3CDTF">2022-01-03T01:36:13Z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